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660" activeTab="19"/>
  </bookViews>
  <sheets>
    <sheet name="DCF" sheetId="1" r:id="rId1"/>
    <sheet name="Horizon" sheetId="2" r:id="rId2"/>
    <sheet name="krit" sheetId="3" r:id="rId3"/>
    <sheet name="Verm_oAusgl" sheetId="4" r:id="rId4"/>
    <sheet name="Verm_mAusgl" sheetId="5" r:id="rId5"/>
    <sheet name="Verm_W_6.6" sheetId="6" r:id="rId6"/>
    <sheet name="Hor_oAusgl" sheetId="7" r:id="rId7"/>
    <sheet name="Hor_oAusgl (IKV)" sheetId="8" r:id="rId8"/>
    <sheet name="Hor_mAusgl" sheetId="9" r:id="rId9"/>
    <sheet name="Hor_W_6.7" sheetId="10" r:id="rId10"/>
    <sheet name="iWoHK" sheetId="11" r:id="rId11"/>
    <sheet name="iWoKo" sheetId="12" r:id="rId12"/>
    <sheet name="iWoDat" sheetId="13" r:id="rId13"/>
    <sheet name="iWoTab" sheetId="14" r:id="rId14"/>
    <sheet name="iWoGuV" sheetId="15" r:id="rId15"/>
    <sheet name="iWoSt" sheetId="16" r:id="rId16"/>
    <sheet name="iWoDarl" sheetId="17" r:id="rId17"/>
    <sheet name="iWoDarl_W_7.4" sheetId="18" r:id="rId18"/>
    <sheet name="iWoVerm_mAusgl_var" sheetId="19" r:id="rId19"/>
    <sheet name="iWoVerm_mAusgl_fix" sheetId="20" r:id="rId20"/>
  </sheets>
  <definedNames/>
  <calcPr fullCalcOnLoad="1"/>
</workbook>
</file>

<file path=xl/sharedStrings.xml><?xml version="1.0" encoding="utf-8"?>
<sst xmlns="http://schemas.openxmlformats.org/spreadsheetml/2006/main" count="484" uniqueCount="208">
  <si>
    <t>Jahr</t>
  </si>
  <si>
    <t>Abzinsungsfaktor</t>
  </si>
  <si>
    <t>Szenario</t>
  </si>
  <si>
    <t>optimistisch</t>
  </si>
  <si>
    <t>mittel</t>
  </si>
  <si>
    <t>pessimistisch</t>
  </si>
  <si>
    <t>DCF</t>
  </si>
  <si>
    <t>Cash flow €</t>
  </si>
  <si>
    <t>Barwerte €</t>
  </si>
  <si>
    <t>Abweichung in Prozent</t>
  </si>
  <si>
    <t>Abweichung absolut</t>
  </si>
  <si>
    <t>et €</t>
  </si>
  <si>
    <t>at €</t>
  </si>
  <si>
    <t>Annahmen:</t>
  </si>
  <si>
    <t>Sollzins %:</t>
  </si>
  <si>
    <t>Habenzins %:</t>
  </si>
  <si>
    <t>Kalkulationszins %:</t>
  </si>
  <si>
    <t>Eigenkapital €:</t>
  </si>
  <si>
    <t>Investitionszeitraum</t>
  </si>
  <si>
    <t>in Jahren:</t>
  </si>
  <si>
    <t>Ergänzungsinv. €</t>
  </si>
  <si>
    <t>-</t>
  </si>
  <si>
    <t>Aufzinsungsfaktor</t>
  </si>
  <si>
    <t>Anlagedauer in J</t>
  </si>
  <si>
    <t>Endwerte €</t>
  </si>
  <si>
    <t>Kapitalaufnahme</t>
  </si>
  <si>
    <t xml:space="preserve">Tilgung </t>
  </si>
  <si>
    <t>Sollzinsen</t>
  </si>
  <si>
    <t>Kapitalanlage</t>
  </si>
  <si>
    <t>Auflösung</t>
  </si>
  <si>
    <t>Habenzinsen</t>
  </si>
  <si>
    <t>Kreditbestand</t>
  </si>
  <si>
    <t>Guthabenstand</t>
  </si>
  <si>
    <t>6 bzw. 15</t>
  </si>
  <si>
    <t>IKV</t>
  </si>
  <si>
    <t>?</t>
  </si>
  <si>
    <t>45 TG-Stellplätze</t>
  </si>
  <si>
    <t>9 zusätzliche TG-Stellplätze</t>
  </si>
  <si>
    <t>gesamt:</t>
  </si>
  <si>
    <t>Aufstellung der Kosten</t>
  </si>
  <si>
    <t>0100 Grundstück</t>
  </si>
  <si>
    <t>0200 Herrichten und Erschließen des Grundstücks</t>
  </si>
  <si>
    <t>0300 Bauwerk</t>
  </si>
  <si>
    <t>0400 Gerätekosten</t>
  </si>
  <si>
    <t>0500 Außenanlagen</t>
  </si>
  <si>
    <t>gesamte Fremdkosten</t>
  </si>
  <si>
    <t>Werbung</t>
  </si>
  <si>
    <t>Grundstückszinsen</t>
  </si>
  <si>
    <t>Bauzeitzinsen</t>
  </si>
  <si>
    <t>PKW-Stellplätze</t>
  </si>
  <si>
    <t>HK je Einheit</t>
  </si>
  <si>
    <t>HK je Kostenart</t>
  </si>
  <si>
    <t>pro qm Wfl.</t>
  </si>
  <si>
    <t>in vH der GK</t>
  </si>
  <si>
    <t>0700 Baunebenkosten</t>
  </si>
  <si>
    <t>Gemeinkostenzuschlag</t>
  </si>
  <si>
    <t>Herstellungskosten ohne Stellplätze</t>
  </si>
  <si>
    <t>Kostenart</t>
  </si>
  <si>
    <t>Herstellungskosten mit Stellplätzen</t>
  </si>
  <si>
    <t>Wfl. in qm:</t>
  </si>
  <si>
    <t>Vermessung</t>
  </si>
  <si>
    <t>Kaufpreis desGrundstücks €</t>
  </si>
  <si>
    <t>Vermessung €</t>
  </si>
  <si>
    <t>Gerichts- und Notariatsgebühren €</t>
  </si>
  <si>
    <t>Maklerprovision €</t>
  </si>
  <si>
    <t>Grunderwerbsteuer (3,5 vH vom Kaufpreis) €</t>
  </si>
  <si>
    <t>Wertgutachten / Bodenuntersuchung €</t>
  </si>
  <si>
    <t>Abfindungen und Entschädigungen für Miet- und Pachtverhältnisse €</t>
  </si>
  <si>
    <t>Ablösung dinglicher Rechte und sonstiger Belastungen €</t>
  </si>
  <si>
    <t>gesamte Grundstückskosten €</t>
  </si>
  <si>
    <t>Herrichten, Vorbereitende Maßnahmen</t>
  </si>
  <si>
    <t>Abbrucharbeiten</t>
  </si>
  <si>
    <t>Altlastenentsorgung</t>
  </si>
  <si>
    <t>...</t>
  </si>
  <si>
    <t>Wasserversorgung</t>
  </si>
  <si>
    <t>Gasversorgung</t>
  </si>
  <si>
    <t>Fernwärmeversorgung</t>
  </si>
  <si>
    <t>Stromversorgung</t>
  </si>
  <si>
    <t>Fernmeldeanlagen</t>
  </si>
  <si>
    <t>Verkehrs- und Grünanlagen</t>
  </si>
  <si>
    <t>gesamte Kosten</t>
  </si>
  <si>
    <t>0100 Baugrundstück</t>
  </si>
  <si>
    <t>0200 Herrichten und Erschließen</t>
  </si>
  <si>
    <t>Öffentliche Erschließung (soweit nicht im Kaufpreis enthalten)</t>
  </si>
  <si>
    <t>Abwasseranlagen / Kanalisation</t>
  </si>
  <si>
    <t>Vorbereitung der Objektplanung</t>
  </si>
  <si>
    <t>Untersuchungen, Wertermittlungen, Städtebauliche Wettbewerbe und Gutachterverfahren</t>
  </si>
  <si>
    <t>Baugenehmigung</t>
  </si>
  <si>
    <t>Architekten- und Ingenieurleistungen</t>
  </si>
  <si>
    <t>Architekt</t>
  </si>
  <si>
    <t>Fachingenieure, Sonderfachleute</t>
  </si>
  <si>
    <t>Nebenkosten</t>
  </si>
  <si>
    <t>Gutachten und Beratung (Bauphysiker, Bodengutachter)</t>
  </si>
  <si>
    <t>Allgemeine Baunebenkosten</t>
  </si>
  <si>
    <t>a) bautechnische Verm.</t>
  </si>
  <si>
    <t>b) Grundstücksteilung</t>
  </si>
  <si>
    <t>c) Gebäudeeinmessung</t>
  </si>
  <si>
    <t>Prüfungen, Abnahmen, Genehmigungen</t>
  </si>
  <si>
    <t>a) Prüfstatik</t>
  </si>
  <si>
    <t>b) Abnahme durch Sachverständigen</t>
  </si>
  <si>
    <t>c) Sonstiges</t>
  </si>
  <si>
    <t>Gerichts- und Notariatskosten (Baudurchführung)</t>
  </si>
  <si>
    <t>b) Sonstiges</t>
  </si>
  <si>
    <t>Sonstige Baunebenkosten</t>
  </si>
  <si>
    <t>a) Richtfest</t>
  </si>
  <si>
    <t>I.</t>
  </si>
  <si>
    <t>Grunddaten</t>
  </si>
  <si>
    <t>Wohnfläche in m2</t>
  </si>
  <si>
    <t>Zins für Fremdkapital in Prozent</t>
  </si>
  <si>
    <t>Gesamtkosten €</t>
  </si>
  <si>
    <t xml:space="preserve">II. </t>
  </si>
  <si>
    <t>Finanzierungsstruktur</t>
  </si>
  <si>
    <t>Eigenkapital €</t>
  </si>
  <si>
    <t>Fremdkapital €</t>
  </si>
  <si>
    <t>III.</t>
  </si>
  <si>
    <t xml:space="preserve">A. </t>
  </si>
  <si>
    <t>Kapitalkosten</t>
  </si>
  <si>
    <t>Annuität auf das Hypothekendarlehen €</t>
  </si>
  <si>
    <t>B.</t>
  </si>
  <si>
    <t>Bewirtschaftungskosten</t>
  </si>
  <si>
    <t>IV.</t>
  </si>
  <si>
    <t>Mieteinnahmen pro Jahr gesamte Wohnanlage €</t>
  </si>
  <si>
    <t>pro Monat und m2 €</t>
  </si>
  <si>
    <t>t</t>
  </si>
  <si>
    <t>CF</t>
  </si>
  <si>
    <t>Abz.</t>
  </si>
  <si>
    <t>Barwerte</t>
  </si>
  <si>
    <t>Modernisierung</t>
  </si>
  <si>
    <t>Miete</t>
  </si>
  <si>
    <t>Kapital</t>
  </si>
  <si>
    <t>Ausfall</t>
  </si>
  <si>
    <t>Verw.</t>
  </si>
  <si>
    <t>Inst.</t>
  </si>
  <si>
    <t>Mod.</t>
  </si>
  <si>
    <r>
      <t>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/R</t>
    </r>
    <r>
      <rPr>
        <b/>
        <vertAlign val="subscript"/>
        <sz val="10"/>
        <rFont val="Arial"/>
        <family val="2"/>
      </rPr>
      <t>15</t>
    </r>
  </si>
  <si>
    <t>cap rate</t>
  </si>
  <si>
    <t>exit rate</t>
  </si>
  <si>
    <t>Inst.setz</t>
  </si>
  <si>
    <t>Inst.halt</t>
  </si>
  <si>
    <t>Anzahl Wohneinheiten</t>
  </si>
  <si>
    <t>Verwaltungskosten je Wohneinheit €</t>
  </si>
  <si>
    <t>Instandhaltungskosten je m2 €</t>
  </si>
  <si>
    <t>Verwaltung</t>
  </si>
  <si>
    <t>Instandhaltung</t>
  </si>
  <si>
    <t>Mietausfall</t>
  </si>
  <si>
    <r>
      <t>i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in Prozent</t>
    </r>
  </si>
  <si>
    <r>
      <t>i t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in Prozent</t>
    </r>
  </si>
  <si>
    <t>anf. Tilgung Prozent</t>
  </si>
  <si>
    <t>Zinsen €</t>
  </si>
  <si>
    <t>Tilgung €</t>
  </si>
  <si>
    <t>Restschuld €</t>
  </si>
  <si>
    <r>
      <t>Ann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10</t>
    </r>
  </si>
  <si>
    <r>
      <t>Ann t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20</t>
    </r>
  </si>
  <si>
    <t>Wertst.</t>
  </si>
  <si>
    <t>Wertentw.</t>
  </si>
  <si>
    <t>Miete1</t>
  </si>
  <si>
    <t>Miete2</t>
  </si>
  <si>
    <t>Miete3</t>
  </si>
  <si>
    <t>Miete4</t>
  </si>
  <si>
    <t>Instandsetzung</t>
  </si>
  <si>
    <t>Laufende Auszahlungen ("Aufwendungen") im 1. Jahr</t>
  </si>
  <si>
    <t>Mietausfall in Prozent der Miete</t>
  </si>
  <si>
    <r>
      <t>Ausfall t</t>
    </r>
    <r>
      <rPr>
        <vertAlign val="subscript"/>
        <sz val="10"/>
        <rFont val="Arial"/>
        <family val="2"/>
      </rPr>
      <t>1</t>
    </r>
  </si>
  <si>
    <t>neuer CF €</t>
  </si>
  <si>
    <r>
      <t>Annahmen I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:</t>
    </r>
  </si>
  <si>
    <r>
      <t>Annahmen I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:</t>
    </r>
  </si>
  <si>
    <t>Rendite</t>
  </si>
  <si>
    <t>CF2</t>
  </si>
  <si>
    <r>
      <t>i</t>
    </r>
    <r>
      <rPr>
        <vertAlign val="subscript"/>
        <sz val="10"/>
        <rFont val="Arial"/>
        <family val="2"/>
      </rPr>
      <t>S</t>
    </r>
  </si>
  <si>
    <r>
      <t>i</t>
    </r>
    <r>
      <rPr>
        <vertAlign val="subscript"/>
        <sz val="10"/>
        <rFont val="Arial"/>
        <family val="2"/>
      </rPr>
      <t>H</t>
    </r>
  </si>
  <si>
    <t>Herstellungskosten</t>
  </si>
  <si>
    <t>EK</t>
  </si>
  <si>
    <t>FK</t>
  </si>
  <si>
    <t>Zinsen</t>
  </si>
  <si>
    <t>Annuität:</t>
  </si>
  <si>
    <t>Hypodarl.</t>
  </si>
  <si>
    <t>Restschuld</t>
  </si>
  <si>
    <t>Tilgung</t>
  </si>
  <si>
    <t>Hypozins1 %:</t>
  </si>
  <si>
    <t>Hypozins2 %:</t>
  </si>
  <si>
    <t>Sollzins %</t>
  </si>
  <si>
    <t>nach Kap.dienst</t>
  </si>
  <si>
    <t>Anfangstilgung %</t>
  </si>
  <si>
    <t>HK</t>
  </si>
  <si>
    <t>Habenzins1 %:</t>
  </si>
  <si>
    <t>Habenzins2 %:</t>
  </si>
  <si>
    <t>Investitionszeitraum Jahre</t>
  </si>
  <si>
    <t>Abschr.</t>
  </si>
  <si>
    <t>Gewinn</t>
  </si>
  <si>
    <t>Zinsaufwand</t>
  </si>
  <si>
    <t>Zinsertrag</t>
  </si>
  <si>
    <t>Bem.: Daten aus Blatt iWoVerm_mAusgl_fix</t>
  </si>
  <si>
    <t>Abschr.sätze</t>
  </si>
  <si>
    <t>Gebäude</t>
  </si>
  <si>
    <t>davon aktivierungsfähig beim Gebäude</t>
  </si>
  <si>
    <t>Buchgewinn</t>
  </si>
  <si>
    <t>darauf KSt</t>
  </si>
  <si>
    <t>Nutzungsdauer Jahre</t>
  </si>
  <si>
    <t>Bew.</t>
  </si>
  <si>
    <t>Ertragsteuersatz:</t>
  </si>
  <si>
    <t>Eink.VuV</t>
  </si>
  <si>
    <t>Est.</t>
  </si>
  <si>
    <t>Verl.Vortr.</t>
  </si>
  <si>
    <t>CF.n.Est.</t>
  </si>
  <si>
    <t>CF.v.St.</t>
  </si>
  <si>
    <t>Belastung</t>
  </si>
  <si>
    <r>
      <t>A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/R</t>
    </r>
    <r>
      <rPr>
        <vertAlign val="subscript"/>
        <sz val="10"/>
        <rFont val="Arial"/>
        <family val="2"/>
      </rPr>
      <t>6</t>
    </r>
  </si>
  <si>
    <t>Liqu.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</si>
</sst>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_ ;[Red]\-#,##0\ "/>
    <numFmt numFmtId="167" formatCode="0.000000"/>
    <numFmt numFmtId="168" formatCode="#,##0.000"/>
    <numFmt numFmtId="169" formatCode="#,##0.00000"/>
    <numFmt numFmtId="170" formatCode="0.000"/>
    <numFmt numFmtId="171" formatCode="0.00000000"/>
    <numFmt numFmtId="172" formatCode="#,##0.0000"/>
    <numFmt numFmtId="173" formatCode="#,##0.0000000000"/>
    <numFmt numFmtId="174" formatCode="0.000000%"/>
    <numFmt numFmtId="175" formatCode="0.0000%"/>
  </numFmts>
  <fonts count="11">
    <font>
      <sz val="10"/>
      <name val="Arial"/>
      <family val="0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70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5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5" fontId="0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2" borderId="5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71" fontId="1" fillId="0" borderId="0" xfId="0" applyNumberFormat="1" applyFont="1" applyAlignment="1">
      <alignment/>
    </xf>
    <xf numFmtId="175" fontId="2" fillId="0" borderId="0" xfId="0" applyNumberFormat="1" applyFont="1" applyAlignment="1">
      <alignment horizontal="right"/>
    </xf>
    <xf numFmtId="175" fontId="0" fillId="0" borderId="0" xfId="0" applyNumberFormat="1" applyAlignment="1">
      <alignment/>
    </xf>
    <xf numFmtId="3" fontId="0" fillId="2" borderId="0" xfId="0" applyNumberFormat="1" applyFont="1" applyFill="1" applyAlignment="1">
      <alignment horizontal="right"/>
    </xf>
    <xf numFmtId="166" fontId="0" fillId="2" borderId="0" xfId="0" applyNumberFormat="1" applyFont="1" applyFill="1" applyAlignment="1">
      <alignment horizontal="right"/>
    </xf>
    <xf numFmtId="3" fontId="0" fillId="2" borderId="0" xfId="0" applyNumberFormat="1" applyFill="1" applyAlignment="1">
      <alignment horizontal="right"/>
    </xf>
    <xf numFmtId="3" fontId="1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iWoTab!$A$16:$A$35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iWoTab!$L$16:$L$35</c:f>
              <c:numCache/>
            </c:numRef>
          </c:val>
        </c:ser>
        <c:axId val="36653424"/>
        <c:axId val="61445361"/>
      </c:barChart>
      <c:catAx>
        <c:axId val="36653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534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0</xdr:rowOff>
    </xdr:from>
    <xdr:to>
      <xdr:col>9</xdr:col>
      <xdr:colOff>0</xdr:colOff>
      <xdr:row>56</xdr:row>
      <xdr:rowOff>9525</xdr:rowOff>
    </xdr:to>
    <xdr:graphicFrame>
      <xdr:nvGraphicFramePr>
        <xdr:cNvPr id="1" name="Chart 2"/>
        <xdr:cNvGraphicFramePr/>
      </xdr:nvGraphicFramePr>
      <xdr:xfrm>
        <a:off x="533400" y="6048375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9"/>
  <sheetViews>
    <sheetView zoomScale="125" zoomScaleNormal="125" workbookViewId="0" topLeftCell="A1">
      <selection activeCell="H19" sqref="H19"/>
    </sheetView>
  </sheetViews>
  <sheetFormatPr defaultColWidth="11.421875" defaultRowHeight="12.75"/>
  <cols>
    <col min="1" max="1" width="4.421875" style="0" customWidth="1"/>
    <col min="2" max="2" width="10.7109375" style="0" customWidth="1"/>
    <col min="3" max="3" width="15.28125" style="0" bestFit="1" customWidth="1"/>
    <col min="4" max="4" width="10.140625" style="0" customWidth="1"/>
    <col min="8" max="8" width="17.57421875" style="0" bestFit="1" customWidth="1"/>
    <col min="9" max="9" width="20.28125" style="0" bestFit="1" customWidth="1"/>
  </cols>
  <sheetData>
    <row r="2" spans="1:9" ht="12.75">
      <c r="A2" s="3" t="s">
        <v>0</v>
      </c>
      <c r="B2" s="3" t="s">
        <v>7</v>
      </c>
      <c r="C2" s="3" t="s">
        <v>1</v>
      </c>
      <c r="D2" s="3" t="s">
        <v>8</v>
      </c>
      <c r="F2" s="3" t="s">
        <v>2</v>
      </c>
      <c r="G2" s="3" t="s">
        <v>6</v>
      </c>
      <c r="H2" s="3" t="s">
        <v>10</v>
      </c>
      <c r="I2" t="s">
        <v>9</v>
      </c>
    </row>
    <row r="3" spans="1:9" ht="12.75">
      <c r="A3" s="3">
        <v>1</v>
      </c>
      <c r="B3" s="1">
        <v>750000</v>
      </c>
      <c r="C3" s="4">
        <f aca="true" t="shared" si="0" ref="C3:C8">1/1.1^A3</f>
        <v>0.9090909090909091</v>
      </c>
      <c r="D3" s="1">
        <f aca="true" t="shared" si="1" ref="D3:D8">B3*C3</f>
        <v>681818.1818181818</v>
      </c>
      <c r="F3" s="3" t="s">
        <v>3</v>
      </c>
      <c r="G3" s="1">
        <f>D9</f>
        <v>10413814.426937595</v>
      </c>
      <c r="H3" s="1">
        <f>D9-D19</f>
        <v>1126972.2013523653</v>
      </c>
      <c r="I3" s="5">
        <f>H3/G3*100</f>
        <v>10.8218963306779</v>
      </c>
    </row>
    <row r="4" spans="1:9" ht="12.75">
      <c r="A4" s="3">
        <v>2</v>
      </c>
      <c r="B4" s="1">
        <v>750000</v>
      </c>
      <c r="C4" s="4">
        <f t="shared" si="0"/>
        <v>0.8264462809917354</v>
      </c>
      <c r="D4" s="1">
        <f t="shared" si="1"/>
        <v>619834.7107438016</v>
      </c>
      <c r="F4" s="3" t="s">
        <v>4</v>
      </c>
      <c r="G4" s="1">
        <f>D19</f>
        <v>9286842.22558523</v>
      </c>
      <c r="H4" s="1">
        <v>0</v>
      </c>
      <c r="I4" s="5">
        <f>H4/G4*100</f>
        <v>0</v>
      </c>
    </row>
    <row r="5" spans="1:9" ht="12.75">
      <c r="A5" s="3">
        <v>3</v>
      </c>
      <c r="B5" s="1">
        <v>750000</v>
      </c>
      <c r="C5" s="4">
        <f t="shared" si="0"/>
        <v>0.7513148009015775</v>
      </c>
      <c r="D5" s="1">
        <f t="shared" si="1"/>
        <v>563486.1006761831</v>
      </c>
      <c r="F5" s="3" t="s">
        <v>5</v>
      </c>
      <c r="G5" s="1">
        <f>D29</f>
        <v>7126318.258304397</v>
      </c>
      <c r="H5" s="1">
        <f>D29-D19</f>
        <v>-2160523.967280833</v>
      </c>
      <c r="I5" s="5">
        <f>H5/G5*100</f>
        <v>-30.317534089403665</v>
      </c>
    </row>
    <row r="6" spans="1:4" ht="12.75">
      <c r="A6" s="3">
        <v>4</v>
      </c>
      <c r="B6" s="1">
        <v>950000</v>
      </c>
      <c r="C6" s="4">
        <f t="shared" si="0"/>
        <v>0.6830134553650705</v>
      </c>
      <c r="D6" s="1">
        <f t="shared" si="1"/>
        <v>648862.782596817</v>
      </c>
    </row>
    <row r="7" spans="1:4" ht="12.75">
      <c r="A7" s="3">
        <v>5</v>
      </c>
      <c r="B7" s="1">
        <v>950000</v>
      </c>
      <c r="C7" s="4">
        <f t="shared" si="0"/>
        <v>0.6209213230591549</v>
      </c>
      <c r="D7" s="1">
        <f t="shared" si="1"/>
        <v>589875.2569061972</v>
      </c>
    </row>
    <row r="8" spans="1:4" ht="12.75">
      <c r="A8" s="3">
        <v>6</v>
      </c>
      <c r="B8" s="1">
        <v>12950000</v>
      </c>
      <c r="C8" s="4">
        <f t="shared" si="0"/>
        <v>0.5644739300537772</v>
      </c>
      <c r="D8" s="1">
        <f t="shared" si="1"/>
        <v>7309937.394196415</v>
      </c>
    </row>
    <row r="9" ht="12.75">
      <c r="D9" s="2">
        <f>SUM(D3:D8)</f>
        <v>10413814.426937595</v>
      </c>
    </row>
    <row r="12" spans="1:4" ht="12.75">
      <c r="A12" s="3" t="s">
        <v>0</v>
      </c>
      <c r="B12" s="3" t="s">
        <v>7</v>
      </c>
      <c r="C12" s="3" t="s">
        <v>1</v>
      </c>
      <c r="D12" s="3" t="s">
        <v>8</v>
      </c>
    </row>
    <row r="13" spans="1:4" ht="12.75">
      <c r="A13" s="3">
        <v>1</v>
      </c>
      <c r="B13" s="1">
        <v>750000</v>
      </c>
      <c r="C13" s="4">
        <f aca="true" t="shared" si="2" ref="C13:C18">1/1.1^A13</f>
        <v>0.9090909090909091</v>
      </c>
      <c r="D13" s="1">
        <f aca="true" t="shared" si="3" ref="D13:D18">B13*C13</f>
        <v>681818.1818181818</v>
      </c>
    </row>
    <row r="14" spans="1:4" ht="12.75">
      <c r="A14" s="3">
        <v>2</v>
      </c>
      <c r="B14" s="1">
        <v>750000</v>
      </c>
      <c r="C14" s="4">
        <f t="shared" si="2"/>
        <v>0.8264462809917354</v>
      </c>
      <c r="D14" s="1">
        <f t="shared" si="3"/>
        <v>619834.7107438016</v>
      </c>
    </row>
    <row r="15" spans="1:4" ht="12.75">
      <c r="A15" s="3">
        <v>3</v>
      </c>
      <c r="B15" s="1">
        <v>750000</v>
      </c>
      <c r="C15" s="4">
        <f t="shared" si="2"/>
        <v>0.7513148009015775</v>
      </c>
      <c r="D15" s="1">
        <f t="shared" si="3"/>
        <v>563486.1006761831</v>
      </c>
    </row>
    <row r="16" spans="1:4" ht="12.75">
      <c r="A16" s="3">
        <v>4</v>
      </c>
      <c r="B16" s="1">
        <v>800000</v>
      </c>
      <c r="C16" s="4">
        <f t="shared" si="2"/>
        <v>0.6830134553650705</v>
      </c>
      <c r="D16" s="1">
        <f t="shared" si="3"/>
        <v>546410.7642920564</v>
      </c>
    </row>
    <row r="17" spans="1:4" ht="12.75">
      <c r="A17" s="3">
        <v>5</v>
      </c>
      <c r="B17" s="1">
        <v>800000</v>
      </c>
      <c r="C17" s="4">
        <f t="shared" si="2"/>
        <v>0.6209213230591549</v>
      </c>
      <c r="D17" s="1">
        <f t="shared" si="3"/>
        <v>496737.0584473239</v>
      </c>
    </row>
    <row r="18" spans="1:4" ht="12.75">
      <c r="A18" s="3">
        <v>6</v>
      </c>
      <c r="B18" s="1">
        <v>11300000</v>
      </c>
      <c r="C18" s="4">
        <f t="shared" si="2"/>
        <v>0.5644739300537772</v>
      </c>
      <c r="D18" s="1">
        <f t="shared" si="3"/>
        <v>6378555.409607682</v>
      </c>
    </row>
    <row r="19" ht="12.75">
      <c r="D19" s="2">
        <f>SUM(D13:D18)</f>
        <v>9286842.22558523</v>
      </c>
    </row>
    <row r="22" spans="1:4" ht="12.75">
      <c r="A22" s="3" t="s">
        <v>0</v>
      </c>
      <c r="B22" s="3" t="s">
        <v>7</v>
      </c>
      <c r="C22" s="3" t="s">
        <v>1</v>
      </c>
      <c r="D22" s="3" t="s">
        <v>8</v>
      </c>
    </row>
    <row r="23" spans="1:4" ht="12.75">
      <c r="A23" s="3">
        <v>1</v>
      </c>
      <c r="B23" s="1">
        <v>750000</v>
      </c>
      <c r="C23" s="4">
        <f aca="true" t="shared" si="4" ref="C23:C28">1/1.1^A23</f>
        <v>0.9090909090909091</v>
      </c>
      <c r="D23" s="1">
        <f aca="true" t="shared" si="5" ref="D23:D28">B23*C23</f>
        <v>681818.1818181818</v>
      </c>
    </row>
    <row r="24" spans="1:4" ht="12.75">
      <c r="A24" s="3">
        <v>2</v>
      </c>
      <c r="B24" s="1">
        <v>750000</v>
      </c>
      <c r="C24" s="4">
        <f t="shared" si="4"/>
        <v>0.8264462809917354</v>
      </c>
      <c r="D24" s="1">
        <f t="shared" si="5"/>
        <v>619834.7107438016</v>
      </c>
    </row>
    <row r="25" spans="1:4" ht="12.75">
      <c r="A25" s="3">
        <v>3</v>
      </c>
      <c r="B25" s="1">
        <v>750000</v>
      </c>
      <c r="C25" s="4">
        <f t="shared" si="4"/>
        <v>0.7513148009015775</v>
      </c>
      <c r="D25" s="1">
        <f t="shared" si="5"/>
        <v>563486.1006761831</v>
      </c>
    </row>
    <row r="26" spans="1:4" ht="12.75">
      <c r="A26" s="3">
        <v>4</v>
      </c>
      <c r="B26" s="1">
        <v>550000</v>
      </c>
      <c r="C26" s="4">
        <f t="shared" si="4"/>
        <v>0.6830134553650705</v>
      </c>
      <c r="D26" s="1">
        <f t="shared" si="5"/>
        <v>375657.4004507888</v>
      </c>
    </row>
    <row r="27" spans="1:4" ht="12.75">
      <c r="A27" s="3">
        <v>5</v>
      </c>
      <c r="B27" s="1">
        <v>550000</v>
      </c>
      <c r="C27" s="4">
        <f t="shared" si="4"/>
        <v>0.6209213230591549</v>
      </c>
      <c r="D27" s="1">
        <f t="shared" si="5"/>
        <v>341506.7276825352</v>
      </c>
    </row>
    <row r="28" spans="1:4" ht="12.75">
      <c r="A28" s="3">
        <v>6</v>
      </c>
      <c r="B28" s="1">
        <v>8050000</v>
      </c>
      <c r="C28" s="4">
        <f t="shared" si="4"/>
        <v>0.5644739300537772</v>
      </c>
      <c r="D28" s="1">
        <f t="shared" si="5"/>
        <v>4544015.136932907</v>
      </c>
    </row>
    <row r="29" ht="12.75">
      <c r="D29" s="2">
        <f>SUM(D23:D28)</f>
        <v>7126318.258304397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51"/>
  <sheetViews>
    <sheetView zoomScale="115" zoomScaleNormal="115" workbookViewId="0" topLeftCell="A28">
      <selection activeCell="C55" sqref="C55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spans="1:7" ht="12.75">
      <c r="A6" t="s">
        <v>17</v>
      </c>
      <c r="C6" s="23" t="s">
        <v>35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 s="21">
        <v>15</v>
      </c>
    </row>
    <row r="11" spans="1:11" ht="12.75">
      <c r="A11" s="3" t="s">
        <v>0</v>
      </c>
      <c r="B11" s="3" t="s">
        <v>7</v>
      </c>
      <c r="C11" s="3" t="s">
        <v>25</v>
      </c>
      <c r="D11" s="3" t="s">
        <v>26</v>
      </c>
      <c r="E11" s="3" t="s">
        <v>27</v>
      </c>
      <c r="F11" s="3" t="s">
        <v>31</v>
      </c>
      <c r="G11" s="3" t="s">
        <v>28</v>
      </c>
      <c r="H11" s="3" t="s">
        <v>29</v>
      </c>
      <c r="I11" s="3" t="s">
        <v>30</v>
      </c>
      <c r="J11" t="s">
        <v>32</v>
      </c>
      <c r="K11" s="3"/>
    </row>
    <row r="12" spans="1:11" ht="12.75">
      <c r="A12" s="7">
        <v>0</v>
      </c>
      <c r="B12" s="19">
        <v>-4500000</v>
      </c>
      <c r="C12" s="20">
        <f>B12*(-1)</f>
        <v>4500000</v>
      </c>
      <c r="D12" s="76"/>
      <c r="E12" s="77"/>
      <c r="F12" s="76">
        <f>C12</f>
        <v>4500000</v>
      </c>
      <c r="G12" s="76"/>
      <c r="H12" s="76"/>
      <c r="I12" s="76"/>
      <c r="J12" s="78"/>
      <c r="K12" s="3"/>
    </row>
    <row r="13" spans="1:12" ht="12.75">
      <c r="A13" s="7">
        <v>1</v>
      </c>
      <c r="B13" s="19">
        <v>400000</v>
      </c>
      <c r="C13" s="20"/>
      <c r="D13" s="76">
        <f>B13-E13</f>
        <v>175000</v>
      </c>
      <c r="E13" s="77">
        <f aca="true" t="shared" si="0" ref="E13:E18">$C$3*F12/100</f>
        <v>225000</v>
      </c>
      <c r="F13" s="77">
        <f aca="true" t="shared" si="1" ref="F13:F18">F12-D13</f>
        <v>4325000</v>
      </c>
      <c r="G13" s="76"/>
      <c r="H13" s="76"/>
      <c r="I13" s="76"/>
      <c r="J13" s="78"/>
      <c r="K13" s="1"/>
      <c r="L13" s="5"/>
    </row>
    <row r="14" spans="1:12" ht="12.75">
      <c r="A14" s="7">
        <v>2</v>
      </c>
      <c r="B14" s="19">
        <v>400000</v>
      </c>
      <c r="C14" s="20"/>
      <c r="D14" s="76">
        <f>B14-E14</f>
        <v>183750</v>
      </c>
      <c r="E14" s="77">
        <f t="shared" si="0"/>
        <v>216250</v>
      </c>
      <c r="F14" s="77">
        <f t="shared" si="1"/>
        <v>4141250</v>
      </c>
      <c r="G14" s="76"/>
      <c r="H14" s="76"/>
      <c r="I14" s="76"/>
      <c r="J14" s="78"/>
      <c r="K14" s="1"/>
      <c r="L14" s="5"/>
    </row>
    <row r="15" spans="1:12" ht="12.75">
      <c r="A15" s="7">
        <v>3</v>
      </c>
      <c r="B15" s="19">
        <v>400000</v>
      </c>
      <c r="C15" s="20"/>
      <c r="D15" s="76">
        <f>B15-E15</f>
        <v>192937.5</v>
      </c>
      <c r="E15" s="77">
        <f t="shared" si="0"/>
        <v>207062.5</v>
      </c>
      <c r="F15" s="77">
        <f t="shared" si="1"/>
        <v>3948312.5</v>
      </c>
      <c r="G15" s="76"/>
      <c r="H15" s="76"/>
      <c r="I15" s="76"/>
      <c r="J15" s="78"/>
      <c r="K15" s="1"/>
      <c r="L15" s="5"/>
    </row>
    <row r="16" spans="1:10" ht="12.75">
      <c r="A16" s="7">
        <v>4</v>
      </c>
      <c r="B16" s="19">
        <v>500000</v>
      </c>
      <c r="C16" s="20"/>
      <c r="D16" s="76">
        <f>B16-E16</f>
        <v>302584.375</v>
      </c>
      <c r="E16" s="77">
        <f t="shared" si="0"/>
        <v>197415.625</v>
      </c>
      <c r="F16" s="77">
        <f t="shared" si="1"/>
        <v>3645728.125</v>
      </c>
      <c r="G16" s="76"/>
      <c r="H16" s="76"/>
      <c r="I16" s="76"/>
      <c r="J16" s="78"/>
    </row>
    <row r="17" spans="1:10" ht="12.75">
      <c r="A17" s="7">
        <v>5</v>
      </c>
      <c r="B17" s="19">
        <v>500000</v>
      </c>
      <c r="C17" s="20"/>
      <c r="D17" s="76">
        <f>B17-E17</f>
        <v>317713.59375</v>
      </c>
      <c r="E17" s="77">
        <f t="shared" si="0"/>
        <v>182286.40625</v>
      </c>
      <c r="F17" s="77">
        <f t="shared" si="1"/>
        <v>3328014.53125</v>
      </c>
      <c r="G17" s="76"/>
      <c r="H17" s="76"/>
      <c r="I17" s="76"/>
      <c r="J17" s="78"/>
    </row>
    <row r="18" spans="1:10" ht="12.75">
      <c r="A18" s="7">
        <v>6</v>
      </c>
      <c r="B18" s="19">
        <v>500000</v>
      </c>
      <c r="C18" s="20"/>
      <c r="D18" s="76">
        <f>F17</f>
        <v>3328014.53125</v>
      </c>
      <c r="E18" s="77">
        <f t="shared" si="0"/>
        <v>166400.7265625</v>
      </c>
      <c r="F18" s="77">
        <f t="shared" si="1"/>
        <v>0</v>
      </c>
      <c r="G18" s="76">
        <f>B18-D18-E18</f>
        <v>-2994415.2578125</v>
      </c>
      <c r="H18" s="76"/>
      <c r="I18" s="76"/>
      <c r="J18" s="78">
        <f>G18</f>
        <v>-2994415.2578125</v>
      </c>
    </row>
    <row r="19" spans="1:10" ht="12.75">
      <c r="A19" s="7">
        <v>7</v>
      </c>
      <c r="B19" s="19">
        <v>450000</v>
      </c>
      <c r="C19" s="20"/>
      <c r="D19" s="76"/>
      <c r="E19" s="77"/>
      <c r="F19" s="77"/>
      <c r="G19" s="76"/>
      <c r="H19" s="76"/>
      <c r="I19" s="76">
        <f aca="true" t="shared" si="2" ref="I19:I27">$C$4*J18/100</f>
        <v>-89832.457734375</v>
      </c>
      <c r="J19" s="78">
        <f aca="true" t="shared" si="3" ref="J19:J27">J18+I19</f>
        <v>-3084247.715546875</v>
      </c>
    </row>
    <row r="20" spans="1:10" ht="12.75">
      <c r="A20" s="7">
        <v>8</v>
      </c>
      <c r="B20" s="19">
        <v>450000</v>
      </c>
      <c r="C20" s="20"/>
      <c r="D20" s="76"/>
      <c r="E20" s="77"/>
      <c r="F20" s="77"/>
      <c r="G20" s="76"/>
      <c r="H20" s="76"/>
      <c r="I20" s="76">
        <f t="shared" si="2"/>
        <v>-92527.43146640625</v>
      </c>
      <c r="J20" s="78">
        <f t="shared" si="3"/>
        <v>-3176775.147013281</v>
      </c>
    </row>
    <row r="21" spans="1:10" ht="12.75">
      <c r="A21" s="7">
        <v>9</v>
      </c>
      <c r="B21" s="19">
        <v>450000</v>
      </c>
      <c r="C21" s="20"/>
      <c r="D21" s="76"/>
      <c r="E21" s="77"/>
      <c r="F21" s="77"/>
      <c r="G21" s="76"/>
      <c r="H21" s="76"/>
      <c r="I21" s="76">
        <f t="shared" si="2"/>
        <v>-95303.25441039844</v>
      </c>
      <c r="J21" s="78">
        <f t="shared" si="3"/>
        <v>-3272078.4014236797</v>
      </c>
    </row>
    <row r="22" spans="1:10" ht="12.75">
      <c r="A22" s="7">
        <v>10</v>
      </c>
      <c r="B22" s="19">
        <v>6750000</v>
      </c>
      <c r="C22" s="20"/>
      <c r="D22" s="76"/>
      <c r="E22" s="77"/>
      <c r="F22" s="77"/>
      <c r="G22" s="76"/>
      <c r="H22" s="76"/>
      <c r="I22" s="76">
        <f t="shared" si="2"/>
        <v>-98162.3520427104</v>
      </c>
      <c r="J22" s="78">
        <f t="shared" si="3"/>
        <v>-3370240.75346639</v>
      </c>
    </row>
    <row r="23" spans="1:10" ht="12.75">
      <c r="A23" s="7">
        <v>11</v>
      </c>
      <c r="B23" s="19" t="s">
        <v>21</v>
      </c>
      <c r="C23" s="4"/>
      <c r="D23" s="76"/>
      <c r="E23" s="77"/>
      <c r="F23" s="77"/>
      <c r="G23" s="79"/>
      <c r="H23" s="80"/>
      <c r="I23" s="76">
        <f t="shared" si="2"/>
        <v>-101107.2226039917</v>
      </c>
      <c r="J23" s="78">
        <f t="shared" si="3"/>
        <v>-3471347.9760703817</v>
      </c>
    </row>
    <row r="24" spans="1:10" ht="12.75">
      <c r="A24" s="7">
        <v>12</v>
      </c>
      <c r="B24" s="19" t="s">
        <v>21</v>
      </c>
      <c r="C24" s="4"/>
      <c r="D24" s="76"/>
      <c r="E24" s="77"/>
      <c r="F24" s="77"/>
      <c r="G24" s="81"/>
      <c r="H24" s="80"/>
      <c r="I24" s="76">
        <f t="shared" si="2"/>
        <v>-104140.43928211145</v>
      </c>
      <c r="J24" s="78">
        <f t="shared" si="3"/>
        <v>-3575488.415352493</v>
      </c>
    </row>
    <row r="25" spans="1:10" ht="12.75">
      <c r="A25" s="7">
        <v>13</v>
      </c>
      <c r="B25" s="19" t="s">
        <v>21</v>
      </c>
      <c r="C25" s="4"/>
      <c r="D25" s="76"/>
      <c r="E25" s="77"/>
      <c r="F25" s="77"/>
      <c r="G25" s="81"/>
      <c r="H25" s="80"/>
      <c r="I25" s="76">
        <f t="shared" si="2"/>
        <v>-107264.65246057478</v>
      </c>
      <c r="J25" s="78">
        <f t="shared" si="3"/>
        <v>-3682753.0678130677</v>
      </c>
    </row>
    <row r="26" spans="1:10" ht="12.75">
      <c r="A26" s="7">
        <v>14</v>
      </c>
      <c r="B26" s="19" t="s">
        <v>21</v>
      </c>
      <c r="C26" s="4"/>
      <c r="D26" s="76"/>
      <c r="E26" s="77"/>
      <c r="F26" s="77"/>
      <c r="G26" s="81"/>
      <c r="H26" s="80"/>
      <c r="I26" s="76">
        <f t="shared" si="2"/>
        <v>-110482.59203439202</v>
      </c>
      <c r="J26" s="78">
        <f t="shared" si="3"/>
        <v>-3793235.6598474598</v>
      </c>
    </row>
    <row r="27" spans="1:10" ht="12.75">
      <c r="A27" s="7">
        <v>15</v>
      </c>
      <c r="B27" s="19" t="s">
        <v>21</v>
      </c>
      <c r="C27" s="4"/>
      <c r="D27" s="76"/>
      <c r="E27" s="77"/>
      <c r="F27" s="77"/>
      <c r="G27" s="81"/>
      <c r="H27" s="80"/>
      <c r="I27" s="76">
        <f t="shared" si="2"/>
        <v>-113797.06979542378</v>
      </c>
      <c r="J27" s="82">
        <f t="shared" si="3"/>
        <v>-3907032.7296428834</v>
      </c>
    </row>
    <row r="28" spans="1:10" ht="12.75">
      <c r="A28" s="7"/>
      <c r="B28" s="74">
        <f>IRR(B12:B22)</f>
        <v>0.12127644614681592</v>
      </c>
      <c r="C28" s="11"/>
      <c r="D28" s="12"/>
      <c r="E28" s="17"/>
      <c r="F28" s="17"/>
      <c r="G28" s="13"/>
      <c r="I28" s="20"/>
      <c r="J28" s="23"/>
    </row>
    <row r="29" spans="1:7" ht="12.75">
      <c r="A29" s="7"/>
      <c r="B29" s="19"/>
      <c r="C29" s="11"/>
      <c r="D29" s="12"/>
      <c r="E29" s="17"/>
      <c r="F29" s="17"/>
      <c r="G29" s="13"/>
    </row>
    <row r="30" spans="5:8" ht="12.75">
      <c r="E30" s="18"/>
      <c r="F30" s="18"/>
      <c r="H30" s="15"/>
    </row>
    <row r="33" spans="1:10" ht="12.75">
      <c r="A33" s="3" t="s">
        <v>0</v>
      </c>
      <c r="B33" s="3" t="s">
        <v>7</v>
      </c>
      <c r="C33" s="3" t="s">
        <v>25</v>
      </c>
      <c r="D33" s="3" t="s">
        <v>26</v>
      </c>
      <c r="E33" s="3" t="s">
        <v>27</v>
      </c>
      <c r="F33" s="3" t="s">
        <v>31</v>
      </c>
      <c r="G33" s="3" t="s">
        <v>28</v>
      </c>
      <c r="H33" s="3" t="s">
        <v>29</v>
      </c>
      <c r="I33" s="3" t="s">
        <v>30</v>
      </c>
      <c r="J33" t="s">
        <v>32</v>
      </c>
    </row>
    <row r="34" spans="1:10" ht="12.75">
      <c r="A34" s="7">
        <v>0</v>
      </c>
      <c r="B34" s="19">
        <v>-9000000</v>
      </c>
      <c r="C34" s="20">
        <f>B34*(-1)</f>
        <v>9000000</v>
      </c>
      <c r="D34" s="76"/>
      <c r="E34" s="77"/>
      <c r="F34" s="76">
        <f>C34</f>
        <v>9000000</v>
      </c>
      <c r="G34" s="76"/>
      <c r="H34" s="76"/>
      <c r="I34" s="76"/>
      <c r="J34" s="78"/>
    </row>
    <row r="35" spans="1:10" ht="12.75">
      <c r="A35" s="7">
        <v>1</v>
      </c>
      <c r="B35" s="19">
        <v>850000</v>
      </c>
      <c r="C35" s="20"/>
      <c r="D35" s="76">
        <f aca="true" t="shared" si="4" ref="D35:D48">B35-E35</f>
        <v>400000</v>
      </c>
      <c r="E35" s="77">
        <f aca="true" t="shared" si="5" ref="E35:E49">$C$3*F34/100</f>
        <v>450000</v>
      </c>
      <c r="F35" s="77">
        <f aca="true" t="shared" si="6" ref="F35:F49">F34-D35</f>
        <v>8600000</v>
      </c>
      <c r="G35" s="76"/>
      <c r="H35" s="76"/>
      <c r="I35" s="76"/>
      <c r="J35" s="78"/>
    </row>
    <row r="36" spans="1:10" ht="12.75">
      <c r="A36" s="7">
        <v>2</v>
      </c>
      <c r="B36" s="19">
        <v>870000</v>
      </c>
      <c r="C36" s="20"/>
      <c r="D36" s="76">
        <f t="shared" si="4"/>
        <v>440000</v>
      </c>
      <c r="E36" s="77">
        <f t="shared" si="5"/>
        <v>430000</v>
      </c>
      <c r="F36" s="77">
        <f t="shared" si="6"/>
        <v>8160000</v>
      </c>
      <c r="G36" s="76"/>
      <c r="H36" s="76"/>
      <c r="I36" s="76"/>
      <c r="J36" s="78"/>
    </row>
    <row r="37" spans="1:10" ht="12.75">
      <c r="A37" s="7">
        <v>3</v>
      </c>
      <c r="B37" s="19">
        <v>900000</v>
      </c>
      <c r="C37" s="20"/>
      <c r="D37" s="76">
        <f t="shared" si="4"/>
        <v>492000</v>
      </c>
      <c r="E37" s="77">
        <f t="shared" si="5"/>
        <v>408000</v>
      </c>
      <c r="F37" s="77">
        <f t="shared" si="6"/>
        <v>7668000</v>
      </c>
      <c r="G37" s="76"/>
      <c r="H37" s="76"/>
      <c r="I37" s="76"/>
      <c r="J37" s="78"/>
    </row>
    <row r="38" spans="1:10" ht="12.75">
      <c r="A38" s="7">
        <v>4</v>
      </c>
      <c r="B38" s="19">
        <v>950000</v>
      </c>
      <c r="C38" s="20"/>
      <c r="D38" s="76">
        <f t="shared" si="4"/>
        <v>566600</v>
      </c>
      <c r="E38" s="77">
        <f t="shared" si="5"/>
        <v>383400</v>
      </c>
      <c r="F38" s="77">
        <f t="shared" si="6"/>
        <v>7101400</v>
      </c>
      <c r="G38" s="76"/>
      <c r="H38" s="76"/>
      <c r="I38" s="76"/>
      <c r="J38" s="78"/>
    </row>
    <row r="39" spans="1:10" ht="12.75">
      <c r="A39" s="7">
        <v>5</v>
      </c>
      <c r="B39" s="19">
        <v>1000000</v>
      </c>
      <c r="C39" s="20"/>
      <c r="D39" s="76">
        <f t="shared" si="4"/>
        <v>644930</v>
      </c>
      <c r="E39" s="77">
        <f t="shared" si="5"/>
        <v>355070</v>
      </c>
      <c r="F39" s="77">
        <f t="shared" si="6"/>
        <v>6456470</v>
      </c>
      <c r="G39" s="76"/>
      <c r="H39" s="76"/>
      <c r="I39" s="76"/>
      <c r="J39" s="78"/>
    </row>
    <row r="40" spans="1:10" ht="12.75">
      <c r="A40" s="7">
        <v>6</v>
      </c>
      <c r="B40" s="19">
        <v>1020000</v>
      </c>
      <c r="C40" s="20"/>
      <c r="D40" s="76">
        <f t="shared" si="4"/>
        <v>697176.5</v>
      </c>
      <c r="E40" s="77">
        <f t="shared" si="5"/>
        <v>322823.5</v>
      </c>
      <c r="F40" s="77">
        <f t="shared" si="6"/>
        <v>5759293.5</v>
      </c>
      <c r="G40" s="76"/>
      <c r="H40" s="76"/>
      <c r="I40" s="76"/>
      <c r="J40" s="78"/>
    </row>
    <row r="41" spans="1:10" ht="12.75">
      <c r="A41" s="7">
        <v>7</v>
      </c>
      <c r="B41" s="19">
        <v>1060000</v>
      </c>
      <c r="C41" s="20"/>
      <c r="D41" s="76">
        <f t="shared" si="4"/>
        <v>772035.325</v>
      </c>
      <c r="E41" s="77">
        <f t="shared" si="5"/>
        <v>287964.675</v>
      </c>
      <c r="F41" s="77">
        <f t="shared" si="6"/>
        <v>4987258.175</v>
      </c>
      <c r="G41" s="76"/>
      <c r="H41" s="76"/>
      <c r="I41" s="76"/>
      <c r="J41" s="78"/>
    </row>
    <row r="42" spans="1:10" ht="12.75">
      <c r="A42" s="7">
        <v>8</v>
      </c>
      <c r="B42" s="19">
        <v>1100000</v>
      </c>
      <c r="C42" s="20"/>
      <c r="D42" s="76">
        <f t="shared" si="4"/>
        <v>850637.09125</v>
      </c>
      <c r="E42" s="77">
        <f t="shared" si="5"/>
        <v>249362.90875</v>
      </c>
      <c r="F42" s="77">
        <f t="shared" si="6"/>
        <v>4136621.0837499998</v>
      </c>
      <c r="G42" s="76"/>
      <c r="H42" s="76"/>
      <c r="I42" s="76"/>
      <c r="J42" s="78"/>
    </row>
    <row r="43" spans="1:10" ht="12.75">
      <c r="A43" s="7">
        <v>9</v>
      </c>
      <c r="B43" s="19">
        <v>1150000</v>
      </c>
      <c r="C43" s="20"/>
      <c r="D43" s="76">
        <f t="shared" si="4"/>
        <v>943168.9458125</v>
      </c>
      <c r="E43" s="77">
        <f t="shared" si="5"/>
        <v>206831.0541875</v>
      </c>
      <c r="F43" s="77">
        <f t="shared" si="6"/>
        <v>3193452.1379374997</v>
      </c>
      <c r="G43" s="76"/>
      <c r="H43" s="76"/>
      <c r="I43" s="76"/>
      <c r="J43" s="78"/>
    </row>
    <row r="44" spans="1:10" ht="12.75">
      <c r="A44" s="7">
        <v>10</v>
      </c>
      <c r="B44" s="19">
        <v>1200000</v>
      </c>
      <c r="C44" s="20"/>
      <c r="D44" s="76">
        <f t="shared" si="4"/>
        <v>1040327.393103125</v>
      </c>
      <c r="E44" s="77">
        <f t="shared" si="5"/>
        <v>159672.606896875</v>
      </c>
      <c r="F44" s="77">
        <f t="shared" si="6"/>
        <v>2153124.7448343746</v>
      </c>
      <c r="G44" s="76"/>
      <c r="H44" s="76"/>
      <c r="I44" s="76"/>
      <c r="J44" s="78"/>
    </row>
    <row r="45" spans="1:10" ht="12.75">
      <c r="A45" s="7">
        <v>11</v>
      </c>
      <c r="B45" s="22">
        <v>1250000</v>
      </c>
      <c r="C45" s="4"/>
      <c r="D45" s="76">
        <f t="shared" si="4"/>
        <v>1142343.7627582813</v>
      </c>
      <c r="E45" s="77">
        <f t="shared" si="5"/>
        <v>107656.23724171873</v>
      </c>
      <c r="F45" s="77">
        <f t="shared" si="6"/>
        <v>1010780.9820760933</v>
      </c>
      <c r="G45" s="79"/>
      <c r="H45" s="80"/>
      <c r="I45" s="80"/>
      <c r="J45" s="80"/>
    </row>
    <row r="46" spans="1:10" ht="12.75">
      <c r="A46" s="7">
        <v>12</v>
      </c>
      <c r="B46" s="22">
        <v>1300000</v>
      </c>
      <c r="C46" s="4"/>
      <c r="D46" s="76">
        <f t="shared" si="4"/>
        <v>1249460.9508961954</v>
      </c>
      <c r="E46" s="77">
        <f t="shared" si="5"/>
        <v>50539.04910380467</v>
      </c>
      <c r="F46" s="77">
        <f t="shared" si="6"/>
        <v>-238679.96882010205</v>
      </c>
      <c r="G46" s="78"/>
      <c r="H46" s="80"/>
      <c r="I46" s="80"/>
      <c r="J46" s="80"/>
    </row>
    <row r="47" spans="1:10" ht="12.75">
      <c r="A47" s="7">
        <v>13</v>
      </c>
      <c r="B47" s="22">
        <v>1350000</v>
      </c>
      <c r="C47" s="4"/>
      <c r="D47" s="76">
        <f t="shared" si="4"/>
        <v>1361933.9984410051</v>
      </c>
      <c r="E47" s="77">
        <f t="shared" si="5"/>
        <v>-11933.998441005102</v>
      </c>
      <c r="F47" s="77">
        <f t="shared" si="6"/>
        <v>-1600613.9672611072</v>
      </c>
      <c r="G47" s="78"/>
      <c r="H47" s="80"/>
      <c r="I47" s="80"/>
      <c r="J47" s="80"/>
    </row>
    <row r="48" spans="1:10" ht="12.75">
      <c r="A48" s="7">
        <v>14</v>
      </c>
      <c r="B48" s="22">
        <v>1400000</v>
      </c>
      <c r="C48" s="4"/>
      <c r="D48" s="76">
        <f t="shared" si="4"/>
        <v>1480030.6983630555</v>
      </c>
      <c r="E48" s="77">
        <f t="shared" si="5"/>
        <v>-80030.69836305536</v>
      </c>
      <c r="F48" s="77">
        <f t="shared" si="6"/>
        <v>-3080644.6656241626</v>
      </c>
      <c r="G48" s="78"/>
      <c r="H48" s="80"/>
      <c r="I48" s="80"/>
      <c r="J48" s="80"/>
    </row>
    <row r="49" spans="1:10" ht="12.75">
      <c r="A49" s="7">
        <v>15</v>
      </c>
      <c r="B49" s="22">
        <v>17600000</v>
      </c>
      <c r="C49" s="4"/>
      <c r="D49" s="76">
        <f>F48</f>
        <v>-3080644.6656241626</v>
      </c>
      <c r="E49" s="77">
        <f t="shared" si="5"/>
        <v>-154032.23328120811</v>
      </c>
      <c r="F49" s="77">
        <f t="shared" si="6"/>
        <v>0</v>
      </c>
      <c r="G49" s="78">
        <f>B49-D49-E49</f>
        <v>20834676.89890537</v>
      </c>
      <c r="H49" s="80"/>
      <c r="I49" s="80"/>
      <c r="J49" s="79">
        <f>G49+I49+J48</f>
        <v>20834676.89890537</v>
      </c>
    </row>
    <row r="50" spans="7:10" ht="12.75">
      <c r="G50" s="1"/>
      <c r="H50" s="2"/>
      <c r="I50" s="1"/>
      <c r="J50" s="1"/>
    </row>
    <row r="51" ht="12.75">
      <c r="B51" s="75">
        <f>IRR(B34:B49)</f>
        <v>0.13339892854393814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4"/>
  <sheetViews>
    <sheetView zoomScale="120" zoomScaleNormal="120" workbookViewId="0" topLeftCell="A1">
      <selection activeCell="B11" sqref="B11"/>
    </sheetView>
  </sheetViews>
  <sheetFormatPr defaultColWidth="11.421875" defaultRowHeight="12.75"/>
  <cols>
    <col min="1" max="1" width="42.8515625" style="0" bestFit="1" customWidth="1"/>
    <col min="2" max="2" width="12.7109375" style="0" customWidth="1"/>
    <col min="3" max="3" width="15.421875" style="0" bestFit="1" customWidth="1"/>
    <col min="4" max="4" width="12.57421875" style="0" bestFit="1" customWidth="1"/>
  </cols>
  <sheetData>
    <row r="2" spans="2:3" ht="12.75">
      <c r="B2" s="3" t="s">
        <v>59</v>
      </c>
      <c r="C2">
        <v>3200</v>
      </c>
    </row>
    <row r="4" spans="1:3" ht="12.75">
      <c r="A4" s="28" t="s">
        <v>49</v>
      </c>
      <c r="B4" s="28" t="s">
        <v>50</v>
      </c>
      <c r="C4" s="28" t="s">
        <v>51</v>
      </c>
    </row>
    <row r="5" spans="1:3" ht="12.75">
      <c r="A5" t="s">
        <v>36</v>
      </c>
      <c r="B5" s="1">
        <v>7500</v>
      </c>
      <c r="C5" s="1">
        <f>B5*45</f>
        <v>337500</v>
      </c>
    </row>
    <row r="6" spans="1:3" ht="12.75">
      <c r="A6" t="s">
        <v>37</v>
      </c>
      <c r="B6" s="1">
        <v>5000</v>
      </c>
      <c r="C6" s="1">
        <f>B6*9</f>
        <v>45000</v>
      </c>
    </row>
    <row r="7" spans="1:3" ht="12.75">
      <c r="A7" t="s">
        <v>38</v>
      </c>
      <c r="C7" s="2">
        <f>SUM(C5:C6)</f>
        <v>382500</v>
      </c>
    </row>
    <row r="8" ht="12.75">
      <c r="C8" s="1"/>
    </row>
    <row r="9" spans="1:5" ht="12.75">
      <c r="A9" s="28" t="s">
        <v>39</v>
      </c>
      <c r="B9" s="28" t="s">
        <v>57</v>
      </c>
      <c r="C9" s="28" t="s">
        <v>52</v>
      </c>
      <c r="D9" s="28" t="s">
        <v>53</v>
      </c>
      <c r="E9" s="3"/>
    </row>
    <row r="10" spans="1:4" ht="12.75">
      <c r="A10" t="s">
        <v>40</v>
      </c>
      <c r="B10" s="1">
        <v>2000000</v>
      </c>
      <c r="C10" s="1">
        <f>B10/$C$2</f>
        <v>625</v>
      </c>
      <c r="D10" s="24">
        <f>B10/$B$21</f>
        <v>0.2764053484434924</v>
      </c>
    </row>
    <row r="11" spans="1:4" ht="12.75">
      <c r="A11" t="s">
        <v>41</v>
      </c>
      <c r="B11" s="1">
        <v>175000</v>
      </c>
      <c r="C11" s="1">
        <f aca="true" t="shared" si="0" ref="C11:C21">B11/$C$2</f>
        <v>54.6875</v>
      </c>
      <c r="D11" s="24">
        <f aca="true" t="shared" si="1" ref="D11:D22">B11/$B$21</f>
        <v>0.024185467988805585</v>
      </c>
    </row>
    <row r="12" spans="1:4" ht="12.75">
      <c r="A12" s="66" t="s">
        <v>42</v>
      </c>
      <c r="B12" s="1">
        <v>2700000</v>
      </c>
      <c r="C12" s="1">
        <f t="shared" si="0"/>
        <v>843.75</v>
      </c>
      <c r="D12" s="24">
        <f t="shared" si="1"/>
        <v>0.37314722039871473</v>
      </c>
    </row>
    <row r="13" spans="1:4" ht="12.75">
      <c r="A13" s="66" t="s">
        <v>43</v>
      </c>
      <c r="B13" s="1">
        <v>700000</v>
      </c>
      <c r="C13" s="1">
        <f t="shared" si="0"/>
        <v>218.75</v>
      </c>
      <c r="D13" s="24">
        <f t="shared" si="1"/>
        <v>0.09674187195522234</v>
      </c>
    </row>
    <row r="14" spans="1:4" ht="12.75">
      <c r="A14" s="66" t="s">
        <v>44</v>
      </c>
      <c r="B14" s="1">
        <v>175000</v>
      </c>
      <c r="C14" s="1">
        <f t="shared" si="0"/>
        <v>54.6875</v>
      </c>
      <c r="D14" s="24">
        <f t="shared" si="1"/>
        <v>0.024185467988805585</v>
      </c>
    </row>
    <row r="15" spans="1:4" ht="12.75">
      <c r="A15" s="66" t="s">
        <v>54</v>
      </c>
      <c r="B15" s="1">
        <v>600000</v>
      </c>
      <c r="C15" s="1">
        <f t="shared" si="0"/>
        <v>187.5</v>
      </c>
      <c r="D15" s="24">
        <f t="shared" si="1"/>
        <v>0.08292160453304771</v>
      </c>
    </row>
    <row r="16" spans="1:4" ht="12.75">
      <c r="A16" s="9" t="s">
        <v>45</v>
      </c>
      <c r="B16" s="2">
        <f>SUM(B10:B15)</f>
        <v>6350000</v>
      </c>
      <c r="C16" s="2">
        <f t="shared" si="0"/>
        <v>1984.375</v>
      </c>
      <c r="D16" s="24">
        <f t="shared" si="1"/>
        <v>0.8775869813080883</v>
      </c>
    </row>
    <row r="17" spans="1:4" ht="12.75">
      <c r="A17" t="s">
        <v>46</v>
      </c>
      <c r="B17" s="1">
        <v>50625</v>
      </c>
      <c r="C17" s="1">
        <f t="shared" si="0"/>
        <v>15.8203125</v>
      </c>
      <c r="D17" s="24">
        <f t="shared" si="1"/>
        <v>0.006996510382475901</v>
      </c>
    </row>
    <row r="18" spans="1:4" ht="12.75">
      <c r="A18" t="s">
        <v>47</v>
      </c>
      <c r="B18" s="1">
        <v>100000</v>
      </c>
      <c r="C18" s="1">
        <f t="shared" si="0"/>
        <v>31.25</v>
      </c>
      <c r="D18" s="24">
        <f t="shared" si="1"/>
        <v>0.013820267422174619</v>
      </c>
    </row>
    <row r="19" spans="1:4" ht="12.75">
      <c r="A19" s="66" t="s">
        <v>48</v>
      </c>
      <c r="B19" s="1">
        <v>290625</v>
      </c>
      <c r="C19" s="1">
        <f t="shared" si="0"/>
        <v>90.8203125</v>
      </c>
      <c r="D19" s="24">
        <f t="shared" si="1"/>
        <v>0.040165152195694984</v>
      </c>
    </row>
    <row r="20" spans="1:4" ht="12.75">
      <c r="A20" s="66" t="s">
        <v>55</v>
      </c>
      <c r="B20" s="1">
        <v>444500</v>
      </c>
      <c r="C20" s="1">
        <f t="shared" si="0"/>
        <v>138.90625</v>
      </c>
      <c r="D20" s="24">
        <f t="shared" si="1"/>
        <v>0.06143108869156618</v>
      </c>
    </row>
    <row r="21" spans="1:4" ht="12.75">
      <c r="A21" s="9" t="s">
        <v>56</v>
      </c>
      <c r="B21" s="2">
        <f>SUM(B10:B15)+SUM(B17:B20)</f>
        <v>7235750</v>
      </c>
      <c r="C21" s="2">
        <f t="shared" si="0"/>
        <v>2261.171875</v>
      </c>
      <c r="D21" s="24">
        <f t="shared" si="1"/>
        <v>1</v>
      </c>
    </row>
    <row r="22" spans="1:4" ht="12.75">
      <c r="A22" s="29" t="s">
        <v>58</v>
      </c>
      <c r="B22" s="13">
        <f>B21+C7</f>
        <v>7618250</v>
      </c>
      <c r="C22" s="13">
        <f>B22/$C$2</f>
        <v>2380.703125</v>
      </c>
      <c r="D22" s="24">
        <f t="shared" si="1"/>
        <v>1.0528625228898179</v>
      </c>
    </row>
    <row r="24" spans="1:2" ht="12.75">
      <c r="A24" t="s">
        <v>194</v>
      </c>
      <c r="B24" s="1">
        <f>SUM(B12:B15)+B19+B20</f>
        <v>4910125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2"/>
  <sheetViews>
    <sheetView zoomScale="135" zoomScaleNormal="135" workbookViewId="0" topLeftCell="A1">
      <selection activeCell="B3" sqref="B3"/>
    </sheetView>
  </sheetViews>
  <sheetFormatPr defaultColWidth="11.421875" defaultRowHeight="12.75"/>
  <cols>
    <col min="1" max="1" width="59.28125" style="0" bestFit="1" customWidth="1"/>
    <col min="2" max="2" width="9.8515625" style="0" customWidth="1"/>
  </cols>
  <sheetData>
    <row r="1" ht="12.75">
      <c r="A1" s="9" t="s">
        <v>81</v>
      </c>
    </row>
    <row r="2" spans="1:2" ht="12.75">
      <c r="A2" t="s">
        <v>61</v>
      </c>
      <c r="B2" s="1">
        <v>1920290</v>
      </c>
    </row>
    <row r="3" spans="1:2" ht="12.75">
      <c r="A3" t="s">
        <v>62</v>
      </c>
      <c r="B3" s="1">
        <v>0</v>
      </c>
    </row>
    <row r="4" spans="1:2" ht="12.75">
      <c r="A4" t="s">
        <v>63</v>
      </c>
      <c r="B4" s="1">
        <v>12500</v>
      </c>
    </row>
    <row r="5" spans="1:2" ht="12.75">
      <c r="A5" t="s">
        <v>64</v>
      </c>
      <c r="B5" s="1">
        <v>0</v>
      </c>
    </row>
    <row r="6" spans="1:2" ht="12.75">
      <c r="A6" t="s">
        <v>65</v>
      </c>
      <c r="B6" s="1">
        <f>B2*0.035</f>
        <v>67210.15000000001</v>
      </c>
    </row>
    <row r="7" spans="1:2" ht="12.75">
      <c r="A7" t="s">
        <v>66</v>
      </c>
      <c r="B7" s="1">
        <v>0</v>
      </c>
    </row>
    <row r="8" spans="1:2" ht="12.75">
      <c r="A8" t="s">
        <v>67</v>
      </c>
      <c r="B8" s="1">
        <v>0</v>
      </c>
    </row>
    <row r="9" spans="1:2" ht="12.75">
      <c r="A9" t="s">
        <v>68</v>
      </c>
      <c r="B9" s="1">
        <v>0</v>
      </c>
    </row>
    <row r="10" spans="1:2" ht="12.75">
      <c r="A10" s="9" t="s">
        <v>69</v>
      </c>
      <c r="B10" s="2">
        <f>SUM(B2:B9)</f>
        <v>2000000.15</v>
      </c>
    </row>
    <row r="13" ht="12.75">
      <c r="A13" s="9" t="s">
        <v>82</v>
      </c>
    </row>
    <row r="14" ht="12.75">
      <c r="A14" s="9" t="s">
        <v>70</v>
      </c>
    </row>
    <row r="15" spans="1:3" ht="12.75">
      <c r="A15" t="s">
        <v>71</v>
      </c>
      <c r="B15" s="1">
        <v>80000</v>
      </c>
      <c r="C15" s="1"/>
    </row>
    <row r="16" spans="1:3" ht="12.75">
      <c r="A16" t="s">
        <v>72</v>
      </c>
      <c r="B16" s="1">
        <v>10000</v>
      </c>
      <c r="C16" s="1"/>
    </row>
    <row r="17" spans="1:3" ht="12.75">
      <c r="A17" t="s">
        <v>73</v>
      </c>
      <c r="B17" s="1">
        <v>0</v>
      </c>
      <c r="C17" s="1"/>
    </row>
    <row r="18" spans="1:3" ht="12.75">
      <c r="A18" s="9" t="s">
        <v>83</v>
      </c>
      <c r="B18" s="1"/>
      <c r="C18" s="1"/>
    </row>
    <row r="19" spans="1:3" ht="12.75">
      <c r="A19" t="s">
        <v>84</v>
      </c>
      <c r="B19" s="1">
        <v>5000</v>
      </c>
      <c r="C19" s="1"/>
    </row>
    <row r="20" spans="1:3" ht="12.75">
      <c r="A20" t="s">
        <v>74</v>
      </c>
      <c r="B20" s="1">
        <v>5000</v>
      </c>
      <c r="C20" s="1"/>
    </row>
    <row r="21" spans="1:3" ht="12.75">
      <c r="A21" t="s">
        <v>75</v>
      </c>
      <c r="B21" s="1">
        <v>0</v>
      </c>
      <c r="C21" s="1"/>
    </row>
    <row r="22" spans="1:3" ht="12.75">
      <c r="A22" t="s">
        <v>76</v>
      </c>
      <c r="B22" s="1">
        <v>37500</v>
      </c>
      <c r="C22" s="1"/>
    </row>
    <row r="23" spans="1:3" ht="12.75">
      <c r="A23" t="s">
        <v>77</v>
      </c>
      <c r="B23" s="1">
        <v>37500</v>
      </c>
      <c r="C23" s="1"/>
    </row>
    <row r="24" spans="1:3" ht="12.75">
      <c r="A24" t="s">
        <v>78</v>
      </c>
      <c r="B24" s="1">
        <v>0</v>
      </c>
      <c r="C24" s="1"/>
    </row>
    <row r="25" spans="1:3" ht="12.75">
      <c r="A25" t="s">
        <v>79</v>
      </c>
      <c r="B25" s="1">
        <v>0</v>
      </c>
      <c r="C25" s="1"/>
    </row>
    <row r="26" spans="1:3" ht="12.75">
      <c r="A26" t="s">
        <v>73</v>
      </c>
      <c r="B26" s="1">
        <v>0</v>
      </c>
      <c r="C26" s="1"/>
    </row>
    <row r="27" spans="1:3" ht="12.75">
      <c r="A27" s="9" t="s">
        <v>80</v>
      </c>
      <c r="B27" s="2">
        <v>175000</v>
      </c>
      <c r="C27" s="1"/>
    </row>
    <row r="30" ht="12.75">
      <c r="A30" s="9" t="s">
        <v>54</v>
      </c>
    </row>
    <row r="31" ht="12.75">
      <c r="A31" s="9" t="s">
        <v>85</v>
      </c>
    </row>
    <row r="32" spans="1:3" ht="12.75">
      <c r="A32" t="s">
        <v>86</v>
      </c>
      <c r="C32" s="1">
        <v>0</v>
      </c>
    </row>
    <row r="33" spans="1:3" ht="12.75">
      <c r="A33" t="s">
        <v>87</v>
      </c>
      <c r="C33" s="1">
        <v>27500</v>
      </c>
    </row>
    <row r="34" spans="1:3" ht="12.75">
      <c r="A34" s="9" t="s">
        <v>88</v>
      </c>
      <c r="B34" s="9"/>
      <c r="C34" s="1"/>
    </row>
    <row r="35" spans="1:3" ht="12.75">
      <c r="A35" t="s">
        <v>89</v>
      </c>
      <c r="C35" s="1">
        <v>340000</v>
      </c>
    </row>
    <row r="36" spans="1:3" ht="12.75">
      <c r="A36" t="s">
        <v>90</v>
      </c>
      <c r="C36" s="1">
        <v>153000</v>
      </c>
    </row>
    <row r="37" spans="1:3" ht="12.75">
      <c r="A37" t="s">
        <v>91</v>
      </c>
      <c r="C37" s="1">
        <v>7500</v>
      </c>
    </row>
    <row r="38" spans="1:3" ht="12.75">
      <c r="A38" t="s">
        <v>92</v>
      </c>
      <c r="C38" s="1">
        <v>7500</v>
      </c>
    </row>
    <row r="39" spans="1:3" ht="12.75">
      <c r="A39" s="9" t="s">
        <v>93</v>
      </c>
      <c r="B39" s="9"/>
      <c r="C39" s="1"/>
    </row>
    <row r="40" spans="1:3" ht="12.75">
      <c r="A40" t="s">
        <v>60</v>
      </c>
      <c r="C40" s="1">
        <v>15000</v>
      </c>
    </row>
    <row r="41" spans="1:3" ht="12.75">
      <c r="A41" t="s">
        <v>94</v>
      </c>
      <c r="B41" s="1">
        <v>10000</v>
      </c>
      <c r="C41" s="1"/>
    </row>
    <row r="42" spans="1:3" ht="12.75">
      <c r="A42" t="s">
        <v>95</v>
      </c>
      <c r="B42">
        <v>0</v>
      </c>
      <c r="C42" s="1"/>
    </row>
    <row r="43" spans="1:3" ht="12.75">
      <c r="A43" t="s">
        <v>96</v>
      </c>
      <c r="B43" s="1">
        <v>5000</v>
      </c>
      <c r="C43" s="1"/>
    </row>
    <row r="44" spans="1:3" ht="12.75">
      <c r="A44" t="s">
        <v>97</v>
      </c>
      <c r="C44" s="1">
        <v>32000</v>
      </c>
    </row>
    <row r="45" spans="1:3" ht="12.75">
      <c r="A45" t="s">
        <v>98</v>
      </c>
      <c r="B45" s="1">
        <v>25000</v>
      </c>
      <c r="C45" s="1"/>
    </row>
    <row r="46" spans="1:3" ht="12.75">
      <c r="A46" t="s">
        <v>99</v>
      </c>
      <c r="B46" s="1">
        <v>5000</v>
      </c>
      <c r="C46" s="1"/>
    </row>
    <row r="47" spans="1:3" ht="12.75">
      <c r="A47" t="s">
        <v>100</v>
      </c>
      <c r="B47" s="1">
        <v>2000</v>
      </c>
      <c r="C47" s="1"/>
    </row>
    <row r="48" spans="1:3" ht="12.75">
      <c r="A48" t="s">
        <v>101</v>
      </c>
      <c r="C48" s="1">
        <v>7500</v>
      </c>
    </row>
    <row r="49" spans="1:3" ht="12.75">
      <c r="A49" t="s">
        <v>103</v>
      </c>
      <c r="C49" s="1">
        <v>10000</v>
      </c>
    </row>
    <row r="50" spans="1:3" ht="12.75">
      <c r="A50" t="s">
        <v>104</v>
      </c>
      <c r="B50" s="1">
        <v>5000</v>
      </c>
      <c r="C50" s="1"/>
    </row>
    <row r="51" spans="1:3" ht="12.75">
      <c r="A51" t="s">
        <v>102</v>
      </c>
      <c r="B51" s="1">
        <v>5000</v>
      </c>
      <c r="C51" s="1"/>
    </row>
    <row r="52" spans="1:3" ht="12.75">
      <c r="A52" s="9" t="s">
        <v>80</v>
      </c>
      <c r="B52" s="9"/>
      <c r="C52" s="1">
        <f>SUM(C32:C51)</f>
        <v>600000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25"/>
  <sheetViews>
    <sheetView zoomScale="120" zoomScaleNormal="120" workbookViewId="0" topLeftCell="A1">
      <selection activeCell="D9" sqref="D9"/>
    </sheetView>
  </sheetViews>
  <sheetFormatPr defaultColWidth="11.421875" defaultRowHeight="12.75"/>
  <cols>
    <col min="2" max="2" width="3.421875" style="0" bestFit="1" customWidth="1"/>
    <col min="3" max="3" width="44.57421875" style="0" bestFit="1" customWidth="1"/>
    <col min="4" max="4" width="22.8515625" style="0" bestFit="1" customWidth="1"/>
    <col min="5" max="5" width="8.00390625" style="0" bestFit="1" customWidth="1"/>
  </cols>
  <sheetData>
    <row r="2" spans="2:4" ht="12.75">
      <c r="B2" s="9" t="s">
        <v>105</v>
      </c>
      <c r="C2" s="9" t="s">
        <v>106</v>
      </c>
      <c r="D2" s="9"/>
    </row>
    <row r="3" spans="3:4" ht="12.75">
      <c r="C3" t="s">
        <v>107</v>
      </c>
      <c r="D3" s="1">
        <v>3200</v>
      </c>
    </row>
    <row r="4" spans="3:4" ht="12.75">
      <c r="C4" t="s">
        <v>139</v>
      </c>
      <c r="D4" s="1">
        <v>45</v>
      </c>
    </row>
    <row r="5" spans="3:4" ht="12.75">
      <c r="C5" t="s">
        <v>108</v>
      </c>
      <c r="D5">
        <v>4.5</v>
      </c>
    </row>
    <row r="6" spans="3:4" ht="12.75">
      <c r="C6" t="s">
        <v>140</v>
      </c>
      <c r="D6">
        <v>370</v>
      </c>
    </row>
    <row r="7" spans="3:4" ht="12.75">
      <c r="C7" t="s">
        <v>141</v>
      </c>
      <c r="D7">
        <f>D20/D3</f>
        <v>1.5625</v>
      </c>
    </row>
    <row r="8" spans="3:4" ht="12.75">
      <c r="C8" t="s">
        <v>161</v>
      </c>
      <c r="D8">
        <v>3</v>
      </c>
    </row>
    <row r="9" spans="3:4" ht="12.75">
      <c r="C9" t="s">
        <v>109</v>
      </c>
      <c r="D9" s="1">
        <f>iWoHK!$B$21</f>
        <v>7235750</v>
      </c>
    </row>
    <row r="10" spans="3:4" ht="12.75">
      <c r="C10" t="s">
        <v>197</v>
      </c>
      <c r="D10" s="1">
        <v>20</v>
      </c>
    </row>
    <row r="11" spans="2:4" ht="12.75">
      <c r="B11" s="9" t="s">
        <v>110</v>
      </c>
      <c r="C11" s="9" t="s">
        <v>111</v>
      </c>
      <c r="D11" s="9"/>
    </row>
    <row r="12" spans="3:4" ht="12.75">
      <c r="C12" t="s">
        <v>112</v>
      </c>
      <c r="D12" s="1">
        <v>1808938</v>
      </c>
    </row>
    <row r="13" spans="3:4" ht="12.75">
      <c r="C13" t="s">
        <v>113</v>
      </c>
      <c r="D13" s="1">
        <v>5426812</v>
      </c>
    </row>
    <row r="14" spans="3:4" ht="12.75">
      <c r="C14" t="s">
        <v>109</v>
      </c>
      <c r="D14" s="1">
        <f>D12+D13</f>
        <v>7235750</v>
      </c>
    </row>
    <row r="15" spans="2:4" ht="12.75">
      <c r="B15" s="9" t="s">
        <v>114</v>
      </c>
      <c r="C15" s="9" t="s">
        <v>160</v>
      </c>
      <c r="D15" s="9"/>
    </row>
    <row r="16" spans="2:3" ht="12.75">
      <c r="B16" t="s">
        <v>115</v>
      </c>
      <c r="C16" t="s">
        <v>116</v>
      </c>
    </row>
    <row r="17" spans="3:4" ht="12.75">
      <c r="C17" t="s">
        <v>117</v>
      </c>
      <c r="D17" s="2">
        <f>iWoDarl!$C$7</f>
        <v>428926.4019105</v>
      </c>
    </row>
    <row r="18" spans="2:4" ht="12.75">
      <c r="B18" t="s">
        <v>118</v>
      </c>
      <c r="C18" t="s">
        <v>119</v>
      </c>
      <c r="D18" s="2">
        <f>SUM(D19:D23)</f>
        <v>65810</v>
      </c>
    </row>
    <row r="19" spans="3:4" ht="12.75">
      <c r="C19" t="s">
        <v>142</v>
      </c>
      <c r="D19" s="31">
        <f>D6*D4</f>
        <v>16650</v>
      </c>
    </row>
    <row r="20" spans="3:4" ht="12.75">
      <c r="C20" t="s">
        <v>143</v>
      </c>
      <c r="D20" s="31">
        <f>iWoTab!$H$16</f>
        <v>5000</v>
      </c>
    </row>
    <row r="21" spans="3:4" ht="12.75">
      <c r="C21" t="s">
        <v>159</v>
      </c>
      <c r="D21" s="31">
        <v>0</v>
      </c>
    </row>
    <row r="22" spans="3:4" ht="12.75">
      <c r="C22" t="s">
        <v>127</v>
      </c>
      <c r="D22" s="31">
        <v>0</v>
      </c>
    </row>
    <row r="23" spans="3:4" ht="12.75">
      <c r="C23" t="s">
        <v>144</v>
      </c>
      <c r="D23" s="31">
        <f>iWoTab!$K$16</f>
        <v>44160</v>
      </c>
    </row>
    <row r="24" spans="2:4" ht="12.75">
      <c r="B24" s="9" t="s">
        <v>120</v>
      </c>
      <c r="C24" s="9" t="s">
        <v>121</v>
      </c>
      <c r="D24" s="2">
        <f>D25*12*D3</f>
        <v>441600</v>
      </c>
    </row>
    <row r="25" spans="3:4" ht="12.75">
      <c r="C25" t="s">
        <v>122</v>
      </c>
      <c r="D25" s="5">
        <v>11.5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8"/>
  <sheetViews>
    <sheetView zoomScale="120" zoomScaleNormal="120" workbookViewId="0" topLeftCell="A9">
      <selection activeCell="B11" sqref="B11"/>
    </sheetView>
  </sheetViews>
  <sheetFormatPr defaultColWidth="11.421875" defaultRowHeight="12.75"/>
  <cols>
    <col min="1" max="1" width="7.8515625" style="0" bestFit="1" customWidth="1"/>
    <col min="2" max="2" width="10.140625" style="0" customWidth="1"/>
    <col min="3" max="4" width="8.00390625" style="0" customWidth="1"/>
    <col min="5" max="5" width="10.57421875" style="0" customWidth="1"/>
    <col min="6" max="6" width="8.00390625" style="0" customWidth="1"/>
    <col min="7" max="7" width="7.00390625" style="0" customWidth="1"/>
    <col min="8" max="8" width="8.28125" style="0" customWidth="1"/>
    <col min="9" max="9" width="8.7109375" style="0" customWidth="1"/>
    <col min="10" max="10" width="5.00390625" style="0" customWidth="1"/>
    <col min="11" max="11" width="7.28125" style="0" customWidth="1"/>
    <col min="12" max="12" width="7.57421875" style="0" customWidth="1"/>
    <col min="13" max="13" width="7.00390625" style="0" customWidth="1"/>
    <col min="14" max="14" width="10.140625" style="0" customWidth="1"/>
    <col min="15" max="15" width="11.28125" style="0" customWidth="1"/>
  </cols>
  <sheetData>
    <row r="1" spans="1:2" ht="12.75">
      <c r="A1" t="s">
        <v>34</v>
      </c>
      <c r="B1" s="32">
        <f>O36</f>
        <v>0.06489579582418557</v>
      </c>
    </row>
    <row r="2" spans="1:2" ht="12.75">
      <c r="A2" t="s">
        <v>155</v>
      </c>
      <c r="B2" s="32">
        <v>0.018</v>
      </c>
    </row>
    <row r="3" spans="1:2" ht="12.75">
      <c r="A3" t="s">
        <v>156</v>
      </c>
      <c r="B3" s="32">
        <v>0.012</v>
      </c>
    </row>
    <row r="4" spans="1:2" ht="12.75">
      <c r="A4" t="s">
        <v>157</v>
      </c>
      <c r="B4" s="32">
        <v>0.006</v>
      </c>
    </row>
    <row r="5" spans="1:2" ht="12.75">
      <c r="A5" t="s">
        <v>158</v>
      </c>
      <c r="B5" s="32">
        <v>0</v>
      </c>
    </row>
    <row r="6" spans="1:2" ht="12.75">
      <c r="A6" t="s">
        <v>131</v>
      </c>
      <c r="B6" s="32">
        <v>0.02</v>
      </c>
    </row>
    <row r="7" spans="1:2" ht="12.75">
      <c r="A7" t="s">
        <v>132</v>
      </c>
      <c r="B7" s="32">
        <v>0.105</v>
      </c>
    </row>
    <row r="8" spans="1:2" ht="12.75">
      <c r="A8" t="s">
        <v>133</v>
      </c>
      <c r="B8" s="32">
        <v>0</v>
      </c>
    </row>
    <row r="9" spans="1:2" ht="12.75">
      <c r="A9" t="s">
        <v>130</v>
      </c>
      <c r="B9" s="32">
        <v>0.03</v>
      </c>
    </row>
    <row r="10" spans="1:2" ht="15.75">
      <c r="A10" t="s">
        <v>162</v>
      </c>
      <c r="B10" s="32">
        <v>0.1</v>
      </c>
    </row>
    <row r="11" spans="1:2" ht="12.75">
      <c r="A11" t="s">
        <v>135</v>
      </c>
      <c r="B11" s="30">
        <f>(L16+F16+K16-$B$9*C16)/iWoDat!$D$9</f>
        <v>0.05620730401133262</v>
      </c>
    </row>
    <row r="12" spans="1:5" ht="12.75">
      <c r="A12" t="s">
        <v>136</v>
      </c>
      <c r="B12" s="30">
        <v>0.0682</v>
      </c>
      <c r="C12" s="1"/>
      <c r="D12" s="1"/>
      <c r="E12" s="1"/>
    </row>
    <row r="13" spans="1:5" ht="12.75">
      <c r="A13" t="s">
        <v>153</v>
      </c>
      <c r="B13" s="30">
        <v>-0.0063315</v>
      </c>
      <c r="C13" s="1"/>
      <c r="D13" s="1"/>
      <c r="E13" s="1"/>
    </row>
    <row r="14" spans="1:16" ht="14.25">
      <c r="A14" s="28" t="s">
        <v>123</v>
      </c>
      <c r="B14" s="28" t="s">
        <v>134</v>
      </c>
      <c r="C14" s="28" t="s">
        <v>128</v>
      </c>
      <c r="D14" s="28" t="s">
        <v>153</v>
      </c>
      <c r="E14" s="28" t="s">
        <v>154</v>
      </c>
      <c r="F14" s="28" t="s">
        <v>129</v>
      </c>
      <c r="G14" s="28" t="s">
        <v>131</v>
      </c>
      <c r="H14" s="28" t="s">
        <v>138</v>
      </c>
      <c r="I14" s="28" t="s">
        <v>137</v>
      </c>
      <c r="J14" s="28" t="s">
        <v>133</v>
      </c>
      <c r="K14" s="28" t="s">
        <v>130</v>
      </c>
      <c r="L14" s="28" t="s">
        <v>124</v>
      </c>
      <c r="M14" s="28" t="s">
        <v>125</v>
      </c>
      <c r="N14" s="28" t="s">
        <v>126</v>
      </c>
      <c r="O14" s="28" t="s">
        <v>34</v>
      </c>
      <c r="P14" s="28" t="s">
        <v>167</v>
      </c>
    </row>
    <row r="15" spans="1:16" ht="12.75">
      <c r="A15" s="3">
        <v>0</v>
      </c>
      <c r="B15" s="23">
        <f>iWoDat!$D$12*(-1)</f>
        <v>-1808938</v>
      </c>
      <c r="C15" s="23"/>
      <c r="D15" s="23"/>
      <c r="E15" s="23">
        <f>iWoDat!$D$9</f>
        <v>7235750</v>
      </c>
      <c r="F15" s="23"/>
      <c r="G15" s="23"/>
      <c r="H15" s="23"/>
      <c r="I15" s="23"/>
      <c r="J15" s="23"/>
      <c r="K15" s="23"/>
      <c r="L15" s="23">
        <v>0</v>
      </c>
      <c r="M15" s="37">
        <f>1/(1+$B$1)^A15</f>
        <v>1</v>
      </c>
      <c r="N15" s="23">
        <f>B15*M15</f>
        <v>-1808938</v>
      </c>
      <c r="O15" s="23">
        <f>B15</f>
        <v>-1808938</v>
      </c>
      <c r="P15" s="1">
        <f>O15+F15</f>
        <v>-1808938</v>
      </c>
    </row>
    <row r="16" spans="1:16" ht="12.75">
      <c r="A16" s="3">
        <v>1</v>
      </c>
      <c r="B16" s="21"/>
      <c r="C16" s="23">
        <f>iWoDat!$D$24</f>
        <v>441600</v>
      </c>
      <c r="D16" s="23">
        <f>E16-E15</f>
        <v>-45813.15112500079</v>
      </c>
      <c r="E16" s="23">
        <f>E15*(1+$B$13)</f>
        <v>7189936.848874999</v>
      </c>
      <c r="F16" s="23">
        <f>iWoDat!$D$17</f>
        <v>428926.4019105</v>
      </c>
      <c r="G16" s="23">
        <f>iWoDat!$D$19</f>
        <v>16650</v>
      </c>
      <c r="H16" s="23">
        <v>5000</v>
      </c>
      <c r="I16" s="23">
        <v>0</v>
      </c>
      <c r="J16" s="23">
        <f>iWoDat!$D$22</f>
        <v>0</v>
      </c>
      <c r="K16" s="23">
        <f>$B$10*C16</f>
        <v>44160</v>
      </c>
      <c r="L16" s="23">
        <f aca="true" t="shared" si="0" ref="L16:L35">C16-SUM(F16:K16)</f>
        <v>-53136.40191050002</v>
      </c>
      <c r="M16" s="37">
        <f>1/(1+$B$1)^A16</f>
        <v>0.9390590177192324</v>
      </c>
      <c r="N16" s="23">
        <f aca="true" t="shared" si="1" ref="N16:N34">L16*M16</f>
        <v>-49898.21738320849</v>
      </c>
      <c r="O16" s="23">
        <f aca="true" t="shared" si="2" ref="O16:O34">L16</f>
        <v>-53136.40191050002</v>
      </c>
      <c r="P16" s="1">
        <f aca="true" t="shared" si="3" ref="P16:P35">O16+F16</f>
        <v>375790</v>
      </c>
    </row>
    <row r="17" spans="1:17" ht="12.75">
      <c r="A17" s="3">
        <v>2</v>
      </c>
      <c r="B17" s="21"/>
      <c r="C17" s="23">
        <f>C16*(1+$B$2)</f>
        <v>449548.8</v>
      </c>
      <c r="D17" s="23">
        <f aca="true" t="shared" si="4" ref="D17:D35">E17-E16</f>
        <v>-45523.085158652626</v>
      </c>
      <c r="E17" s="23">
        <f>E16*(1+$B$13)</f>
        <v>7144413.763716347</v>
      </c>
      <c r="F17" s="23">
        <f>iWoDat!$D$17</f>
        <v>428926.4019105</v>
      </c>
      <c r="G17" s="23">
        <f>G16*(1+$B$6)</f>
        <v>16983</v>
      </c>
      <c r="H17" s="23">
        <f>H16*(1+$B$7)</f>
        <v>5525</v>
      </c>
      <c r="I17" s="23">
        <v>0</v>
      </c>
      <c r="J17" s="23">
        <f>J16*(1+$B$8)</f>
        <v>0</v>
      </c>
      <c r="K17" s="23">
        <f aca="true" t="shared" si="5" ref="K17:K35">$B$9*C17</f>
        <v>13486.464</v>
      </c>
      <c r="L17" s="23">
        <f t="shared" si="0"/>
        <v>-15372.065910500009</v>
      </c>
      <c r="M17" s="37">
        <f aca="true" t="shared" si="6" ref="M17:M35">1/(1+$B$1)^A17</f>
        <v>0.8818318387598097</v>
      </c>
      <c r="N17" s="23">
        <f t="shared" si="1"/>
        <v>-13555.57714739321</v>
      </c>
      <c r="O17" s="23">
        <f t="shared" si="2"/>
        <v>-15372.065910500009</v>
      </c>
      <c r="P17" s="1">
        <f t="shared" si="3"/>
        <v>413554.336</v>
      </c>
      <c r="Q17" s="1"/>
    </row>
    <row r="18" spans="1:16" ht="12.75">
      <c r="A18" s="3">
        <v>3</v>
      </c>
      <c r="B18" s="21"/>
      <c r="C18" s="23">
        <f>C17*(1+$B$2)</f>
        <v>457640.6784</v>
      </c>
      <c r="D18" s="23">
        <f t="shared" si="4"/>
        <v>-45234.85574497003</v>
      </c>
      <c r="E18" s="23">
        <f aca="true" t="shared" si="7" ref="E18:E35">E17*(1+$B$13)</f>
        <v>7099178.907971377</v>
      </c>
      <c r="F18" s="23">
        <f>iWoDat!$D$17</f>
        <v>428926.4019105</v>
      </c>
      <c r="G18" s="23">
        <f aca="true" t="shared" si="8" ref="G18:G35">G17*(1+$B$6)</f>
        <v>17322.66</v>
      </c>
      <c r="H18" s="23">
        <f aca="true" t="shared" si="9" ref="H18:H35">H17*(1+$B$7)</f>
        <v>6105.125</v>
      </c>
      <c r="I18" s="23">
        <v>0</v>
      </c>
      <c r="J18" s="23">
        <f aca="true" t="shared" si="10" ref="J18:J35">J17*(1+$B$8)</f>
        <v>0</v>
      </c>
      <c r="K18" s="23">
        <f t="shared" si="5"/>
        <v>13729.220351999998</v>
      </c>
      <c r="L18" s="23">
        <f t="shared" si="0"/>
        <v>-8442.728862499993</v>
      </c>
      <c r="M18" s="37">
        <f t="shared" si="6"/>
        <v>0.8280921402993315</v>
      </c>
      <c r="N18" s="23">
        <f t="shared" si="1"/>
        <v>-6991.35741371456</v>
      </c>
      <c r="O18" s="23">
        <f t="shared" si="2"/>
        <v>-8442.728862499993</v>
      </c>
      <c r="P18" s="1">
        <f t="shared" si="3"/>
        <v>420483.673048</v>
      </c>
    </row>
    <row r="19" spans="1:16" ht="12.75">
      <c r="A19" s="3">
        <v>4</v>
      </c>
      <c r="B19" s="21"/>
      <c r="C19" s="23">
        <f>C18*(1+$B$2)</f>
        <v>465878.21061119996</v>
      </c>
      <c r="D19" s="23">
        <f t="shared" si="4"/>
        <v>-44948.45125582069</v>
      </c>
      <c r="E19" s="23">
        <f t="shared" si="7"/>
        <v>7054230.456715556</v>
      </c>
      <c r="F19" s="23">
        <f>iWoDat!$D$17</f>
        <v>428926.4019105</v>
      </c>
      <c r="G19" s="23">
        <f t="shared" si="8"/>
        <v>17669.1132</v>
      </c>
      <c r="H19" s="23">
        <f t="shared" si="9"/>
        <v>6746.163125</v>
      </c>
      <c r="I19" s="23">
        <v>0</v>
      </c>
      <c r="J19" s="23">
        <f t="shared" si="10"/>
        <v>0</v>
      </c>
      <c r="K19" s="23">
        <f t="shared" si="5"/>
        <v>13976.346318335998</v>
      </c>
      <c r="L19" s="23">
        <f t="shared" si="0"/>
        <v>-1439.8139426360722</v>
      </c>
      <c r="M19" s="37">
        <f t="shared" si="6"/>
        <v>0.777627391850507</v>
      </c>
      <c r="N19" s="23">
        <f t="shared" si="1"/>
        <v>-1119.6387609620842</v>
      </c>
      <c r="O19" s="23">
        <f t="shared" si="2"/>
        <v>-1439.8139426360722</v>
      </c>
      <c r="P19" s="1">
        <f t="shared" si="3"/>
        <v>427486.58796786395</v>
      </c>
    </row>
    <row r="20" spans="1:16" ht="12.75">
      <c r="A20" s="3">
        <v>5</v>
      </c>
      <c r="B20" s="21"/>
      <c r="C20" s="38">
        <f>C19*(1+$B$2)</f>
        <v>474264.0184022016</v>
      </c>
      <c r="D20" s="23">
        <f t="shared" si="4"/>
        <v>-44663.860136695206</v>
      </c>
      <c r="E20" s="23">
        <f t="shared" si="7"/>
        <v>7009566.596578861</v>
      </c>
      <c r="F20" s="23">
        <f>iWoDat!$D$17</f>
        <v>428926.4019105</v>
      </c>
      <c r="G20" s="23">
        <f t="shared" si="8"/>
        <v>18022.495464</v>
      </c>
      <c r="H20" s="23">
        <f t="shared" si="9"/>
        <v>7454.5102531249995</v>
      </c>
      <c r="I20" s="23">
        <v>0</v>
      </c>
      <c r="J20" s="23">
        <f t="shared" si="10"/>
        <v>0</v>
      </c>
      <c r="K20" s="23">
        <f t="shared" si="5"/>
        <v>14227.920552066047</v>
      </c>
      <c r="L20" s="23">
        <f t="shared" si="0"/>
        <v>5632.690222510544</v>
      </c>
      <c r="M20" s="37">
        <f t="shared" si="6"/>
        <v>0.7302380147427058</v>
      </c>
      <c r="N20" s="23">
        <f t="shared" si="1"/>
        <v>4113.20452574675</v>
      </c>
      <c r="O20" s="23">
        <f t="shared" si="2"/>
        <v>5632.690222510544</v>
      </c>
      <c r="P20" s="1">
        <f t="shared" si="3"/>
        <v>434559.09213301056</v>
      </c>
    </row>
    <row r="21" spans="1:16" ht="12.75">
      <c r="A21" s="3">
        <v>6</v>
      </c>
      <c r="B21" s="21"/>
      <c r="C21" s="23">
        <f>C20*(1+$B$3)</f>
        <v>479955.186623028</v>
      </c>
      <c r="D21" s="23">
        <f t="shared" si="4"/>
        <v>-44381.07090623956</v>
      </c>
      <c r="E21" s="23">
        <f t="shared" si="7"/>
        <v>6965185.525672621</v>
      </c>
      <c r="F21" s="23">
        <f>iWoDat!$D$17</f>
        <v>428926.4019105</v>
      </c>
      <c r="G21" s="23">
        <f t="shared" si="8"/>
        <v>18382.94537328</v>
      </c>
      <c r="H21" s="23">
        <f t="shared" si="9"/>
        <v>8237.233829703124</v>
      </c>
      <c r="I21" s="23">
        <v>16000</v>
      </c>
      <c r="J21" s="23">
        <f t="shared" si="10"/>
        <v>0</v>
      </c>
      <c r="K21" s="23">
        <f t="shared" si="5"/>
        <v>14398.65559869084</v>
      </c>
      <c r="L21" s="23">
        <f t="shared" si="0"/>
        <v>-5990.050089145952</v>
      </c>
      <c r="M21" s="37">
        <f t="shared" si="6"/>
        <v>0.6857365928255277</v>
      </c>
      <c r="N21" s="23">
        <f t="shared" si="1"/>
        <v>-4107.596538985194</v>
      </c>
      <c r="O21" s="23">
        <f t="shared" si="2"/>
        <v>-5990.050089145952</v>
      </c>
      <c r="P21" s="1">
        <f t="shared" si="3"/>
        <v>422936.35182135407</v>
      </c>
    </row>
    <row r="22" spans="1:16" ht="12.75">
      <c r="A22" s="3">
        <v>7</v>
      </c>
      <c r="B22" s="21"/>
      <c r="C22" s="23">
        <f>C21*(1+$B$3)</f>
        <v>485714.64886250434</v>
      </c>
      <c r="D22" s="23">
        <f t="shared" si="4"/>
        <v>-44100.07215579692</v>
      </c>
      <c r="E22" s="23">
        <f t="shared" si="7"/>
        <v>6921085.453516824</v>
      </c>
      <c r="F22" s="23">
        <f>iWoDat!$D$17</f>
        <v>428926.4019105</v>
      </c>
      <c r="G22" s="23">
        <f t="shared" si="8"/>
        <v>18750.6042807456</v>
      </c>
      <c r="H22" s="23">
        <f t="shared" si="9"/>
        <v>9102.143381821952</v>
      </c>
      <c r="I22" s="23">
        <v>0</v>
      </c>
      <c r="J22" s="23">
        <f t="shared" si="10"/>
        <v>0</v>
      </c>
      <c r="K22" s="23">
        <f t="shared" si="5"/>
        <v>14571.43946587513</v>
      </c>
      <c r="L22" s="23">
        <f t="shared" si="0"/>
        <v>14364.059823561634</v>
      </c>
      <c r="M22" s="37">
        <f t="shared" si="6"/>
        <v>0.6439471312728733</v>
      </c>
      <c r="N22" s="23">
        <f t="shared" si="1"/>
        <v>9249.69511681445</v>
      </c>
      <c r="O22" s="23">
        <f t="shared" si="2"/>
        <v>14364.059823561634</v>
      </c>
      <c r="P22" s="1">
        <f t="shared" si="3"/>
        <v>443290.46173406165</v>
      </c>
    </row>
    <row r="23" spans="1:16" ht="12.75">
      <c r="A23" s="3">
        <v>8</v>
      </c>
      <c r="B23" s="21"/>
      <c r="C23" s="23">
        <f>C22*(1+$B$3)</f>
        <v>491543.2246488544</v>
      </c>
      <c r="D23" s="23">
        <f t="shared" si="4"/>
        <v>-43820.85254894197</v>
      </c>
      <c r="E23" s="23">
        <f t="shared" si="7"/>
        <v>6877264.600967882</v>
      </c>
      <c r="F23" s="23">
        <f>iWoDat!$D$17</f>
        <v>428926.4019105</v>
      </c>
      <c r="G23" s="23">
        <f t="shared" si="8"/>
        <v>19125.61636636051</v>
      </c>
      <c r="H23" s="23">
        <f t="shared" si="9"/>
        <v>10057.868436913257</v>
      </c>
      <c r="I23" s="23">
        <v>15500</v>
      </c>
      <c r="J23" s="23">
        <f t="shared" si="10"/>
        <v>0</v>
      </c>
      <c r="K23" s="23">
        <f t="shared" si="5"/>
        <v>14746.296739465632</v>
      </c>
      <c r="L23" s="23">
        <f t="shared" si="0"/>
        <v>3187.04119561502</v>
      </c>
      <c r="M23" s="37">
        <f t="shared" si="6"/>
        <v>0.604704360556222</v>
      </c>
      <c r="N23" s="23">
        <f t="shared" si="1"/>
        <v>1927.217708260718</v>
      </c>
      <c r="O23" s="23">
        <f t="shared" si="2"/>
        <v>3187.04119561502</v>
      </c>
      <c r="P23" s="1">
        <f t="shared" si="3"/>
        <v>432113.44310611504</v>
      </c>
    </row>
    <row r="24" spans="1:16" ht="12.75">
      <c r="A24" s="3">
        <v>9</v>
      </c>
      <c r="B24" s="21"/>
      <c r="C24" s="23">
        <f>C23*(1+$B$3)</f>
        <v>497441.74334464065</v>
      </c>
      <c r="D24" s="23">
        <f t="shared" si="4"/>
        <v>-43543.40082102828</v>
      </c>
      <c r="E24" s="23">
        <f t="shared" si="7"/>
        <v>6833721.200146854</v>
      </c>
      <c r="F24" s="23">
        <f>iWoDat!$D$17</f>
        <v>428926.4019105</v>
      </c>
      <c r="G24" s="23">
        <f t="shared" si="8"/>
        <v>19508.128693687722</v>
      </c>
      <c r="H24" s="23">
        <f t="shared" si="9"/>
        <v>11113.94462278915</v>
      </c>
      <c r="I24" s="23">
        <v>0</v>
      </c>
      <c r="J24" s="23">
        <f t="shared" si="10"/>
        <v>0</v>
      </c>
      <c r="K24" s="23">
        <f t="shared" si="5"/>
        <v>14923.25230033922</v>
      </c>
      <c r="L24" s="23">
        <f t="shared" si="0"/>
        <v>22970.015817324515</v>
      </c>
      <c r="M24" s="37">
        <f t="shared" si="6"/>
        <v>0.5678530828344623</v>
      </c>
      <c r="N24" s="23">
        <f t="shared" si="1"/>
        <v>13043.594294624088</v>
      </c>
      <c r="O24" s="23">
        <f t="shared" si="2"/>
        <v>22970.015817324515</v>
      </c>
      <c r="P24" s="1">
        <f t="shared" si="3"/>
        <v>451896.41772782453</v>
      </c>
    </row>
    <row r="25" spans="1:16" ht="12.75">
      <c r="A25" s="3">
        <v>10</v>
      </c>
      <c r="B25" s="21"/>
      <c r="C25" s="38">
        <f>C24*(1+$B$3)</f>
        <v>503411.04426477634</v>
      </c>
      <c r="D25" s="23">
        <f t="shared" si="4"/>
        <v>-43267.7057787301</v>
      </c>
      <c r="E25" s="23">
        <f t="shared" si="7"/>
        <v>6790453.494368124</v>
      </c>
      <c r="F25" s="23">
        <f>iWoDat!$D$17</f>
        <v>428926.4019105</v>
      </c>
      <c r="G25" s="23">
        <f t="shared" si="8"/>
        <v>19898.291267561475</v>
      </c>
      <c r="H25" s="23">
        <f t="shared" si="9"/>
        <v>12280.90880818201</v>
      </c>
      <c r="I25" s="23">
        <v>45000</v>
      </c>
      <c r="J25" s="23">
        <f t="shared" si="10"/>
        <v>0</v>
      </c>
      <c r="K25" s="23">
        <f t="shared" si="5"/>
        <v>15102.33132794329</v>
      </c>
      <c r="L25" s="23">
        <f t="shared" si="0"/>
        <v>-17796.88904941047</v>
      </c>
      <c r="M25" s="37">
        <f t="shared" si="6"/>
        <v>0.5332475581753682</v>
      </c>
      <c r="N25" s="23">
        <f t="shared" si="1"/>
        <v>-9490.147628716082</v>
      </c>
      <c r="O25" s="23">
        <f t="shared" si="2"/>
        <v>-17796.88904941047</v>
      </c>
      <c r="P25" s="1">
        <f t="shared" si="3"/>
        <v>411129.51286108955</v>
      </c>
    </row>
    <row r="26" spans="1:16" ht="12.75">
      <c r="A26" s="3">
        <v>11</v>
      </c>
      <c r="B26" s="21"/>
      <c r="C26" s="23">
        <f>C25*(1+$B$4)</f>
        <v>506431.510530365</v>
      </c>
      <c r="D26" s="23">
        <f t="shared" si="4"/>
        <v>-42993.75629959162</v>
      </c>
      <c r="E26" s="23">
        <f t="shared" si="7"/>
        <v>6747459.738068532</v>
      </c>
      <c r="F26" s="23">
        <f>iWoDat!$D$17</f>
        <v>428926.4019105</v>
      </c>
      <c r="G26" s="23">
        <f t="shared" si="8"/>
        <v>20296.257092912707</v>
      </c>
      <c r="H26" s="23">
        <f t="shared" si="9"/>
        <v>13570.404233041121</v>
      </c>
      <c r="I26" s="23">
        <v>5000</v>
      </c>
      <c r="J26" s="23">
        <f t="shared" si="10"/>
        <v>0</v>
      </c>
      <c r="K26" s="23">
        <f t="shared" si="5"/>
        <v>15192.945315910949</v>
      </c>
      <c r="L26" s="23">
        <f t="shared" si="0"/>
        <v>23445.50197800022</v>
      </c>
      <c r="M26" s="37">
        <f t="shared" si="6"/>
        <v>0.5007509281813405</v>
      </c>
      <c r="N26" s="23">
        <f t="shared" si="1"/>
        <v>11740.356877161064</v>
      </c>
      <c r="O26" s="23">
        <f t="shared" si="2"/>
        <v>23445.50197800022</v>
      </c>
      <c r="P26" s="1">
        <f t="shared" si="3"/>
        <v>452371.90388850024</v>
      </c>
    </row>
    <row r="27" spans="1:16" ht="12.75">
      <c r="A27" s="3">
        <v>12</v>
      </c>
      <c r="B27" s="21"/>
      <c r="C27" s="23">
        <f>C26*(1+$B$4)</f>
        <v>509470.0995935472</v>
      </c>
      <c r="D27" s="23">
        <f t="shared" si="4"/>
        <v>-42721.54133158084</v>
      </c>
      <c r="E27" s="23">
        <f t="shared" si="7"/>
        <v>6704738.196736951</v>
      </c>
      <c r="F27" s="23">
        <f>iWoDat!$D$17</f>
        <v>428926.4019105</v>
      </c>
      <c r="G27" s="23">
        <f t="shared" si="8"/>
        <v>20702.18223477096</v>
      </c>
      <c r="H27" s="23">
        <f t="shared" si="9"/>
        <v>14995.296677510438</v>
      </c>
      <c r="I27" s="23">
        <v>0</v>
      </c>
      <c r="J27" s="23">
        <f t="shared" si="10"/>
        <v>0</v>
      </c>
      <c r="K27" s="23">
        <f t="shared" si="5"/>
        <v>15284.102987806415</v>
      </c>
      <c r="L27" s="23">
        <f t="shared" si="0"/>
        <v>29562.11578295933</v>
      </c>
      <c r="M27" s="37">
        <f t="shared" si="6"/>
        <v>0.47023467473996355</v>
      </c>
      <c r="N27" s="23">
        <f t="shared" si="1"/>
        <v>13901.131899825023</v>
      </c>
      <c r="O27" s="23">
        <f t="shared" si="2"/>
        <v>29562.11578295933</v>
      </c>
      <c r="P27" s="1">
        <f t="shared" si="3"/>
        <v>458488.51769345935</v>
      </c>
    </row>
    <row r="28" spans="1:16" ht="12.75">
      <c r="A28" s="3">
        <v>13</v>
      </c>
      <c r="B28" s="21"/>
      <c r="C28" s="23">
        <f>C27*(1+$B$4)</f>
        <v>512526.9201911085</v>
      </c>
      <c r="D28" s="23">
        <f t="shared" si="4"/>
        <v>-42451.04989264067</v>
      </c>
      <c r="E28" s="23">
        <f t="shared" si="7"/>
        <v>6662287.146844311</v>
      </c>
      <c r="F28" s="23">
        <f>iWoDat!$D$17</f>
        <v>428926.4019105</v>
      </c>
      <c r="G28" s="23">
        <f t="shared" si="8"/>
        <v>21116.22587946638</v>
      </c>
      <c r="H28" s="23">
        <f t="shared" si="9"/>
        <v>16569.802828649033</v>
      </c>
      <c r="I28" s="23">
        <v>0</v>
      </c>
      <c r="J28" s="23">
        <f t="shared" si="10"/>
        <v>0</v>
      </c>
      <c r="K28" s="23">
        <f t="shared" si="5"/>
        <v>15375.807605733255</v>
      </c>
      <c r="L28" s="23">
        <f t="shared" si="0"/>
        <v>30538.68196675973</v>
      </c>
      <c r="M28" s="37">
        <f t="shared" si="6"/>
        <v>0.4415781117588329</v>
      </c>
      <c r="N28" s="23">
        <f t="shared" si="1"/>
        <v>13485.213518485283</v>
      </c>
      <c r="O28" s="23">
        <f t="shared" si="2"/>
        <v>30538.68196675973</v>
      </c>
      <c r="P28" s="1">
        <f t="shared" si="3"/>
        <v>459465.08387725975</v>
      </c>
    </row>
    <row r="29" spans="1:16" ht="12.75">
      <c r="A29" s="3">
        <v>14</v>
      </c>
      <c r="B29" s="21"/>
      <c r="C29" s="23">
        <f>C28*(1+$B$4)</f>
        <v>515602.08171225514</v>
      </c>
      <c r="D29" s="23">
        <f t="shared" si="4"/>
        <v>-42182.27107024472</v>
      </c>
      <c r="E29" s="23">
        <f t="shared" si="7"/>
        <v>6620104.875774066</v>
      </c>
      <c r="F29" s="23">
        <f>iWoDat!$D$17</f>
        <v>428926.4019105</v>
      </c>
      <c r="G29" s="23">
        <f t="shared" si="8"/>
        <v>21538.550397055707</v>
      </c>
      <c r="H29" s="23">
        <f t="shared" si="9"/>
        <v>18309.632125657183</v>
      </c>
      <c r="I29" s="23">
        <v>50000</v>
      </c>
      <c r="J29" s="23">
        <f t="shared" si="10"/>
        <v>0</v>
      </c>
      <c r="K29" s="23">
        <f t="shared" si="5"/>
        <v>15468.062451367654</v>
      </c>
      <c r="L29" s="23">
        <f t="shared" si="0"/>
        <v>-18640.565172325354</v>
      </c>
      <c r="M29" s="37">
        <f t="shared" si="6"/>
        <v>0.41466790787456304</v>
      </c>
      <c r="N29" s="23">
        <f t="shared" si="1"/>
        <v>-7729.644161607598</v>
      </c>
      <c r="O29" s="23">
        <f t="shared" si="2"/>
        <v>-18640.565172325354</v>
      </c>
      <c r="P29" s="1">
        <f t="shared" si="3"/>
        <v>410285.83673817466</v>
      </c>
    </row>
    <row r="30" spans="1:16" ht="12.75">
      <c r="A30" s="3">
        <v>15</v>
      </c>
      <c r="B30" s="21"/>
      <c r="C30" s="38">
        <f>C29*(1+$B$4)</f>
        <v>518695.6942025287</v>
      </c>
      <c r="D30" s="23">
        <f t="shared" si="4"/>
        <v>-41915.194020964205</v>
      </c>
      <c r="E30" s="23">
        <f t="shared" si="7"/>
        <v>6578189.681753102</v>
      </c>
      <c r="F30" s="23">
        <f>iWoDat!$D$17</f>
        <v>428926.4019105</v>
      </c>
      <c r="G30" s="23">
        <f t="shared" si="8"/>
        <v>21969.321404996823</v>
      </c>
      <c r="H30" s="23">
        <f t="shared" si="9"/>
        <v>20232.143498851186</v>
      </c>
      <c r="I30" s="23">
        <v>0</v>
      </c>
      <c r="J30" s="23">
        <f t="shared" si="10"/>
        <v>0</v>
      </c>
      <c r="K30" s="23">
        <f t="shared" si="5"/>
        <v>15560.87082607586</v>
      </c>
      <c r="L30" s="23">
        <f t="shared" si="0"/>
        <v>32006.956562104868</v>
      </c>
      <c r="M30" s="37">
        <f t="shared" si="6"/>
        <v>0.38939763824837637</v>
      </c>
      <c r="N30" s="23">
        <f t="shared" si="1"/>
        <v>12463.433292802007</v>
      </c>
      <c r="O30" s="23">
        <f t="shared" si="2"/>
        <v>32006.956562104868</v>
      </c>
      <c r="P30" s="1">
        <f t="shared" si="3"/>
        <v>460933.3584726049</v>
      </c>
    </row>
    <row r="31" spans="1:16" ht="12.75">
      <c r="A31" s="3">
        <v>16</v>
      </c>
      <c r="B31" s="21"/>
      <c r="C31" s="23">
        <f>C30*(1+$B$5)</f>
        <v>518695.6942025287</v>
      </c>
      <c r="D31" s="23">
        <f t="shared" si="4"/>
        <v>-41649.80797001999</v>
      </c>
      <c r="E31" s="23">
        <f t="shared" si="7"/>
        <v>6536539.873783082</v>
      </c>
      <c r="F31" s="23">
        <f>iWoDat!$D$17</f>
        <v>428926.4019105</v>
      </c>
      <c r="G31" s="23">
        <f t="shared" si="8"/>
        <v>22408.70783309676</v>
      </c>
      <c r="H31" s="23">
        <f t="shared" si="9"/>
        <v>22356.51856623056</v>
      </c>
      <c r="I31" s="23">
        <v>0</v>
      </c>
      <c r="J31" s="23">
        <f t="shared" si="10"/>
        <v>0</v>
      </c>
      <c r="K31" s="23">
        <f t="shared" si="5"/>
        <v>15560.87082607586</v>
      </c>
      <c r="L31" s="23">
        <f t="shared" si="0"/>
        <v>29443.195066625543</v>
      </c>
      <c r="M31" s="37">
        <f t="shared" si="6"/>
        <v>0.36566736367570923</v>
      </c>
      <c r="N31" s="23">
        <f t="shared" si="1"/>
        <v>10766.41551820261</v>
      </c>
      <c r="O31" s="23">
        <f t="shared" si="2"/>
        <v>29443.195066625543</v>
      </c>
      <c r="P31" s="1">
        <f t="shared" si="3"/>
        <v>458369.59697712556</v>
      </c>
    </row>
    <row r="32" spans="1:16" ht="12.75">
      <c r="A32" s="3">
        <v>17</v>
      </c>
      <c r="B32" s="21"/>
      <c r="C32" s="23">
        <f>C31*(1+$B$5)</f>
        <v>518695.6942025287</v>
      </c>
      <c r="D32" s="23">
        <f t="shared" si="4"/>
        <v>-41386.102210857905</v>
      </c>
      <c r="E32" s="23">
        <f t="shared" si="7"/>
        <v>6495153.771572224</v>
      </c>
      <c r="F32" s="23">
        <f>iWoDat!$D$17</f>
        <v>428926.4019105</v>
      </c>
      <c r="G32" s="23">
        <f t="shared" si="8"/>
        <v>22856.881989758695</v>
      </c>
      <c r="H32" s="23">
        <f t="shared" si="9"/>
        <v>24703.95301568477</v>
      </c>
      <c r="I32" s="23">
        <v>40000</v>
      </c>
      <c r="J32" s="23">
        <f t="shared" si="10"/>
        <v>0</v>
      </c>
      <c r="K32" s="23">
        <f t="shared" si="5"/>
        <v>15560.87082607586</v>
      </c>
      <c r="L32" s="23">
        <f t="shared" si="0"/>
        <v>-13352.413539490663</v>
      </c>
      <c r="M32" s="37">
        <f t="shared" si="6"/>
        <v>0.34338323534529286</v>
      </c>
      <c r="N32" s="23">
        <f t="shared" si="1"/>
        <v>-4584.994960858597</v>
      </c>
      <c r="O32" s="23">
        <f t="shared" si="2"/>
        <v>-13352.413539490663</v>
      </c>
      <c r="P32" s="1">
        <f t="shared" si="3"/>
        <v>415573.98837100936</v>
      </c>
    </row>
    <row r="33" spans="1:16" ht="12.75">
      <c r="A33" s="3">
        <v>18</v>
      </c>
      <c r="B33" s="21"/>
      <c r="C33" s="23">
        <f>C32*(1+$B$5)</f>
        <v>518695.6942025287</v>
      </c>
      <c r="D33" s="23">
        <f t="shared" si="4"/>
        <v>-41124.0661047101</v>
      </c>
      <c r="E33" s="23">
        <f t="shared" si="7"/>
        <v>6454029.705467514</v>
      </c>
      <c r="F33" s="23">
        <f>iWoDat!$D$17</f>
        <v>428926.4019105</v>
      </c>
      <c r="G33" s="23">
        <f t="shared" si="8"/>
        <v>23314.01962955387</v>
      </c>
      <c r="H33" s="23">
        <f t="shared" si="9"/>
        <v>27297.868082331668</v>
      </c>
      <c r="I33" s="23">
        <v>32000</v>
      </c>
      <c r="J33" s="23">
        <f t="shared" si="10"/>
        <v>0</v>
      </c>
      <c r="K33" s="23">
        <f t="shared" si="5"/>
        <v>15560.87082607586</v>
      </c>
      <c r="L33" s="23">
        <f t="shared" si="0"/>
        <v>-8403.466245932737</v>
      </c>
      <c r="M33" s="37">
        <f t="shared" si="6"/>
        <v>0.3224571236846027</v>
      </c>
      <c r="N33" s="23">
        <f t="shared" si="1"/>
        <v>-2709.7575546441167</v>
      </c>
      <c r="O33" s="23">
        <f t="shared" si="2"/>
        <v>-8403.466245932737</v>
      </c>
      <c r="P33" s="1">
        <f t="shared" si="3"/>
        <v>420522.9356645673</v>
      </c>
    </row>
    <row r="34" spans="1:16" ht="12.75">
      <c r="A34" s="3">
        <v>19</v>
      </c>
      <c r="B34" s="21"/>
      <c r="C34" s="23">
        <f>C33*(1+$B$5)</f>
        <v>518695.6942025287</v>
      </c>
      <c r="D34" s="23">
        <f t="shared" si="4"/>
        <v>-40863.68908016756</v>
      </c>
      <c r="E34" s="23">
        <f t="shared" si="7"/>
        <v>6413166.016387346</v>
      </c>
      <c r="F34" s="23">
        <f>iWoDat!$D$17</f>
        <v>428926.4019105</v>
      </c>
      <c r="G34" s="23">
        <f t="shared" si="8"/>
        <v>23780.300022144947</v>
      </c>
      <c r="H34" s="23">
        <f t="shared" si="9"/>
        <v>30164.144230976493</v>
      </c>
      <c r="I34" s="23">
        <v>15000</v>
      </c>
      <c r="J34" s="23">
        <f t="shared" si="10"/>
        <v>0</v>
      </c>
      <c r="K34" s="23">
        <f t="shared" si="5"/>
        <v>15560.87082607586</v>
      </c>
      <c r="L34" s="23">
        <f t="shared" si="0"/>
        <v>5263.977212831436</v>
      </c>
      <c r="M34" s="37">
        <f t="shared" si="6"/>
        <v>0.30280626982383213</v>
      </c>
      <c r="N34" s="23">
        <f t="shared" si="1"/>
        <v>1593.9653042551397</v>
      </c>
      <c r="O34" s="23">
        <f t="shared" si="2"/>
        <v>5263.977212831436</v>
      </c>
      <c r="P34" s="1">
        <f t="shared" si="3"/>
        <v>434190.37912333146</v>
      </c>
    </row>
    <row r="35" spans="1:16" ht="12.75">
      <c r="A35" s="3">
        <v>20</v>
      </c>
      <c r="B35" s="23">
        <f>(L35+F35-I36)/B12</f>
        <v>6372764.486490264</v>
      </c>
      <c r="C35" s="23">
        <f>C34*(1+$B$5)</f>
        <v>518695.6942025287</v>
      </c>
      <c r="D35" s="23">
        <f t="shared" si="4"/>
        <v>-40604.96063275635</v>
      </c>
      <c r="E35" s="23">
        <f t="shared" si="7"/>
        <v>6372561.05575459</v>
      </c>
      <c r="F35" s="23">
        <f>iWoDat!$D$17</f>
        <v>428926.4019105</v>
      </c>
      <c r="G35" s="23">
        <f t="shared" si="8"/>
        <v>24255.906022587846</v>
      </c>
      <c r="H35" s="38">
        <f t="shared" si="9"/>
        <v>33331.37937522902</v>
      </c>
      <c r="I35" s="38">
        <v>0</v>
      </c>
      <c r="J35" s="23">
        <f t="shared" si="10"/>
        <v>0</v>
      </c>
      <c r="K35" s="23">
        <f t="shared" si="5"/>
        <v>15560.87082607586</v>
      </c>
      <c r="L35" s="23">
        <f t="shared" si="0"/>
        <v>16621.136068135966</v>
      </c>
      <c r="M35" s="37">
        <f t="shared" si="6"/>
        <v>0.28435295829999263</v>
      </c>
      <c r="N35" s="39">
        <f>L35*M35+B35*M35</f>
        <v>1816840.7034939209</v>
      </c>
      <c r="O35" s="39">
        <f>L35+B35</f>
        <v>6389385.6225584</v>
      </c>
      <c r="P35" s="1">
        <f t="shared" si="3"/>
        <v>6818312.0244689</v>
      </c>
    </row>
    <row r="36" spans="7:15" ht="12.75">
      <c r="G36" s="36"/>
      <c r="H36" s="27">
        <f>AVERAGE(H16:H35)</f>
        <v>15157.702004584798</v>
      </c>
      <c r="I36" s="27">
        <f>AVERAGE(I16:I35)</f>
        <v>10925</v>
      </c>
      <c r="J36" s="36"/>
      <c r="K36" s="36"/>
      <c r="L36" s="27">
        <f>AVERAGE(L16:L35)</f>
        <v>3523.048848699377</v>
      </c>
      <c r="N36" s="2">
        <f>SUM(N15:N35)</f>
        <v>8.149072527885437E-09</v>
      </c>
      <c r="O36" s="73">
        <f>IRR(O15:O35)</f>
        <v>0.06489579582418557</v>
      </c>
    </row>
    <row r="38" ht="12.75">
      <c r="B38" s="40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8"/>
  <sheetViews>
    <sheetView zoomScale="120" zoomScaleNormal="120" workbookViewId="0" topLeftCell="A1">
      <selection activeCell="D27" sqref="D27"/>
    </sheetView>
  </sheetViews>
  <sheetFormatPr defaultColWidth="11.421875" defaultRowHeight="12.75"/>
  <cols>
    <col min="1" max="1" width="3.28125" style="0" bestFit="1" customWidth="1"/>
    <col min="2" max="2" width="8.00390625" style="0" customWidth="1"/>
    <col min="3" max="3" width="12.7109375" style="0" bestFit="1" customWidth="1"/>
    <col min="4" max="4" width="10.28125" style="0" customWidth="1"/>
    <col min="5" max="5" width="7.00390625" style="0" customWidth="1"/>
    <col min="6" max="6" width="8.28125" style="0" customWidth="1"/>
    <col min="7" max="7" width="8.7109375" style="0" customWidth="1"/>
    <col min="8" max="8" width="7.28125" style="0" customWidth="1"/>
    <col min="9" max="9" width="9.57421875" style="0" customWidth="1"/>
    <col min="10" max="10" width="13.00390625" style="0" bestFit="1" customWidth="1"/>
    <col min="11" max="11" width="8.00390625" style="0" customWidth="1"/>
    <col min="12" max="12" width="8.421875" style="0" customWidth="1"/>
  </cols>
  <sheetData>
    <row r="1" spans="1:13" ht="12.75">
      <c r="A1" s="28" t="s">
        <v>123</v>
      </c>
      <c r="B1" s="28" t="s">
        <v>128</v>
      </c>
      <c r="C1" s="28" t="s">
        <v>189</v>
      </c>
      <c r="D1" s="28" t="s">
        <v>190</v>
      </c>
      <c r="E1" s="28" t="s">
        <v>131</v>
      </c>
      <c r="F1" s="28" t="s">
        <v>138</v>
      </c>
      <c r="G1" s="28" t="s">
        <v>137</v>
      </c>
      <c r="H1" s="28" t="s">
        <v>130</v>
      </c>
      <c r="I1" s="67" t="s">
        <v>193</v>
      </c>
      <c r="J1" s="28" t="s">
        <v>192</v>
      </c>
      <c r="K1" s="69" t="s">
        <v>187</v>
      </c>
      <c r="L1" s="28" t="s">
        <v>188</v>
      </c>
      <c r="M1" s="28" t="s">
        <v>171</v>
      </c>
    </row>
    <row r="2" spans="1:13" ht="12.75">
      <c r="A2" s="3">
        <v>1</v>
      </c>
      <c r="B2" s="6">
        <f>iWoTab!C16</f>
        <v>441600</v>
      </c>
      <c r="C2" s="68">
        <f>iWoVerm_mAusgl_fix!D17</f>
        <v>211645.6875</v>
      </c>
      <c r="D2" s="71">
        <v>0</v>
      </c>
      <c r="E2" s="1">
        <f>iWoTab!G16</f>
        <v>16650</v>
      </c>
      <c r="F2" s="1">
        <f>iWoTab!H16</f>
        <v>5000</v>
      </c>
      <c r="G2" s="1">
        <f>iWoTab!I16</f>
        <v>0</v>
      </c>
      <c r="H2" s="1">
        <f>iWoTab!K16</f>
        <v>44160</v>
      </c>
      <c r="I2" s="68">
        <f>iWoHK!$B$24</f>
        <v>4910125</v>
      </c>
      <c r="J2" s="5">
        <v>4</v>
      </c>
      <c r="K2" s="70">
        <f>$I$2*J2/100</f>
        <v>196405</v>
      </c>
      <c r="L2" s="43">
        <f>B2-C2+D2-E2-F2-G2-H2-K2</f>
        <v>-32260.6875</v>
      </c>
      <c r="M2" s="43">
        <f>L2</f>
        <v>-32260.6875</v>
      </c>
    </row>
    <row r="3" spans="1:13" ht="12.75">
      <c r="A3" s="3">
        <v>2</v>
      </c>
      <c r="B3" s="6">
        <f>iWoTab!C17</f>
        <v>449548.8</v>
      </c>
      <c r="C3" s="68">
        <f>iWoVerm_mAusgl_fix!D18</f>
        <v>204449.734125</v>
      </c>
      <c r="D3" s="71">
        <v>127.02712499999964</v>
      </c>
      <c r="E3" s="1">
        <f>iWoTab!G17</f>
        <v>16983</v>
      </c>
      <c r="F3" s="1">
        <f>iWoTab!H17</f>
        <v>5525</v>
      </c>
      <c r="G3" s="1">
        <f>iWoTab!I17</f>
        <v>0</v>
      </c>
      <c r="H3" s="1">
        <f>iWoTab!K17</f>
        <v>13486.464</v>
      </c>
      <c r="I3" s="68">
        <f>I2-K2</f>
        <v>4713720</v>
      </c>
      <c r="J3" s="5">
        <v>4</v>
      </c>
      <c r="K3" s="70">
        <f aca="true" t="shared" si="0" ref="K3:K21">$I$2*J3/100</f>
        <v>196405</v>
      </c>
      <c r="L3" s="43">
        <f aca="true" t="shared" si="1" ref="L3:L21">B3-C3+D3-E3-F3-G3-H3-K3</f>
        <v>12826.628999999986</v>
      </c>
      <c r="M3" s="43">
        <f>L2+L3</f>
        <v>-19434.058500000014</v>
      </c>
    </row>
    <row r="4" spans="1:13" ht="12.75">
      <c r="A4" s="3">
        <v>3</v>
      </c>
      <c r="B4" s="6">
        <f>iWoTab!C18</f>
        <v>457640.6784</v>
      </c>
      <c r="C4" s="68">
        <f>iWoVerm_mAusgl_fix!D19</f>
        <v>196929.962848125</v>
      </c>
      <c r="D4" s="71">
        <v>1390.7951437499996</v>
      </c>
      <c r="E4" s="1">
        <f>iWoTab!G18</f>
        <v>17322.66</v>
      </c>
      <c r="F4" s="1">
        <f>iWoTab!H18</f>
        <v>6105.125</v>
      </c>
      <c r="G4" s="1">
        <f>iWoTab!I18</f>
        <v>0</v>
      </c>
      <c r="H4" s="1">
        <f>iWoTab!K18</f>
        <v>13729.220351999998</v>
      </c>
      <c r="I4" s="68">
        <f aca="true" t="shared" si="2" ref="I4:I21">I3-K3</f>
        <v>4517315</v>
      </c>
      <c r="J4" s="5">
        <v>4</v>
      </c>
      <c r="K4" s="70">
        <f t="shared" si="0"/>
        <v>196405</v>
      </c>
      <c r="L4" s="43">
        <f t="shared" si="1"/>
        <v>28539.505343624973</v>
      </c>
      <c r="M4" s="43">
        <f>M3+L4</f>
        <v>9105.446843624959</v>
      </c>
    </row>
    <row r="5" spans="1:13" ht="12.75">
      <c r="A5" s="3">
        <v>4</v>
      </c>
      <c r="B5" s="6">
        <f>iWoTab!C19</f>
        <v>465878.21061119996</v>
      </c>
      <c r="C5" s="68">
        <f>iWoVerm_mAusgl_fix!D20</f>
        <v>189071.8018637906</v>
      </c>
      <c r="D5" s="71">
        <v>2900.3563145024996</v>
      </c>
      <c r="E5" s="1">
        <f>iWoTab!G19</f>
        <v>17669.1132</v>
      </c>
      <c r="F5" s="1">
        <f>iWoTab!H19</f>
        <v>6746.163125</v>
      </c>
      <c r="G5" s="1">
        <f>iWoTab!I19</f>
        <v>0</v>
      </c>
      <c r="H5" s="1">
        <f>iWoTab!K19</f>
        <v>13976.346318335998</v>
      </c>
      <c r="I5" s="68">
        <f t="shared" si="2"/>
        <v>4320910</v>
      </c>
      <c r="J5" s="5">
        <v>4</v>
      </c>
      <c r="K5" s="70">
        <f t="shared" si="0"/>
        <v>196405</v>
      </c>
      <c r="L5" s="43">
        <f t="shared" si="1"/>
        <v>44910.14241857585</v>
      </c>
      <c r="M5" s="43">
        <f aca="true" t="shared" si="3" ref="M5:M21">M4+L5</f>
        <v>54015.58926220081</v>
      </c>
    </row>
    <row r="6" spans="1:13" ht="12.75">
      <c r="A6" s="3">
        <v>5</v>
      </c>
      <c r="B6" s="6">
        <f>iWoTab!C20</f>
        <v>474264.0184022016</v>
      </c>
      <c r="C6" s="68">
        <f>iWoVerm_mAusgl_fix!D21</f>
        <v>180860.0236351612</v>
      </c>
      <c r="D6" s="71">
        <v>4665.291767973493</v>
      </c>
      <c r="E6" s="1">
        <f>iWoTab!G20</f>
        <v>18022.495464</v>
      </c>
      <c r="F6" s="1">
        <f>iWoTab!H20</f>
        <v>7454.5102531249995</v>
      </c>
      <c r="G6" s="1">
        <f>iWoTab!I20</f>
        <v>0</v>
      </c>
      <c r="H6" s="1">
        <f>iWoTab!K20</f>
        <v>14227.920552066047</v>
      </c>
      <c r="I6" s="68">
        <f t="shared" si="2"/>
        <v>4124505</v>
      </c>
      <c r="J6" s="5">
        <v>4</v>
      </c>
      <c r="K6" s="70">
        <f t="shared" si="0"/>
        <v>196405</v>
      </c>
      <c r="L6" s="43">
        <f t="shared" si="1"/>
        <v>61959.36026582285</v>
      </c>
      <c r="M6" s="43">
        <f t="shared" si="3"/>
        <v>115974.94952802366</v>
      </c>
    </row>
    <row r="7" spans="1:13" ht="12.75">
      <c r="A7" s="3">
        <v>6</v>
      </c>
      <c r="B7" s="6">
        <f>iWoTab!C21</f>
        <v>479955.186623028</v>
      </c>
      <c r="C7" s="68">
        <f>iWoVerm_mAusgl_fix!D22</f>
        <v>172278.71538624345</v>
      </c>
      <c r="D7" s="71">
        <v>6695.350410003014</v>
      </c>
      <c r="E7" s="1">
        <f>iWoTab!G21</f>
        <v>18382.94537328</v>
      </c>
      <c r="F7" s="1">
        <f>iWoTab!H21</f>
        <v>8237.233829703124</v>
      </c>
      <c r="G7" s="1">
        <f>iWoTab!I21</f>
        <v>16000</v>
      </c>
      <c r="H7" s="1">
        <f>iWoTab!K21</f>
        <v>14398.65559869084</v>
      </c>
      <c r="I7" s="68">
        <f t="shared" si="2"/>
        <v>3928100</v>
      </c>
      <c r="J7" s="5">
        <v>4</v>
      </c>
      <c r="K7" s="70">
        <f t="shared" si="0"/>
        <v>196405</v>
      </c>
      <c r="L7" s="43">
        <f t="shared" si="1"/>
        <v>60947.986845113686</v>
      </c>
      <c r="M7" s="43">
        <f t="shared" si="3"/>
        <v>176922.93637313735</v>
      </c>
    </row>
    <row r="8" spans="1:13" ht="12.75">
      <c r="A8" s="3">
        <v>7</v>
      </c>
      <c r="B8" s="6">
        <f>iWoTab!C22</f>
        <v>485714.64886250434</v>
      </c>
      <c r="C8" s="68">
        <f>iWoVerm_mAusgl_fix!D23</f>
        <v>163311.2482661244</v>
      </c>
      <c r="D8" s="71">
        <v>8437.628601943727</v>
      </c>
      <c r="E8" s="1">
        <f>iWoTab!G22</f>
        <v>18750.6042807456</v>
      </c>
      <c r="F8" s="1">
        <f>iWoTab!H22</f>
        <v>9102.143381821952</v>
      </c>
      <c r="G8" s="1">
        <f>iWoTab!I22</f>
        <v>0</v>
      </c>
      <c r="H8" s="1">
        <f>iWoTab!K22</f>
        <v>14571.43946587513</v>
      </c>
      <c r="I8" s="68">
        <f t="shared" si="2"/>
        <v>3731695</v>
      </c>
      <c r="J8" s="5">
        <v>4</v>
      </c>
      <c r="K8" s="70">
        <f t="shared" si="0"/>
        <v>196405</v>
      </c>
      <c r="L8" s="43">
        <f t="shared" si="1"/>
        <v>92011.84206988092</v>
      </c>
      <c r="M8" s="43">
        <f t="shared" si="3"/>
        <v>268934.77844301827</v>
      </c>
    </row>
    <row r="9" spans="1:13" ht="12.75">
      <c r="A9" s="3">
        <v>8</v>
      </c>
      <c r="B9" s="6">
        <f>iWoTab!C23</f>
        <v>491543.2246488544</v>
      </c>
      <c r="C9" s="68">
        <f>iWoVerm_mAusgl_fix!D24</f>
        <v>153940.24512560002</v>
      </c>
      <c r="D9" s="71">
        <v>10842.798437023888</v>
      </c>
      <c r="E9" s="1">
        <f>iWoTab!G23</f>
        <v>19125.61636636051</v>
      </c>
      <c r="F9" s="1">
        <f>iWoTab!H23</f>
        <v>10057.868436913257</v>
      </c>
      <c r="G9" s="1">
        <f>iWoTab!I23</f>
        <v>15500</v>
      </c>
      <c r="H9" s="1">
        <f>iWoTab!K23</f>
        <v>14746.296739465632</v>
      </c>
      <c r="I9" s="68">
        <f t="shared" si="2"/>
        <v>3535290</v>
      </c>
      <c r="J9" s="5">
        <v>4</v>
      </c>
      <c r="K9" s="70">
        <f t="shared" si="0"/>
        <v>196405</v>
      </c>
      <c r="L9" s="43">
        <f t="shared" si="1"/>
        <v>92610.9964175389</v>
      </c>
      <c r="M9" s="43">
        <f t="shared" si="3"/>
        <v>361545.77486055717</v>
      </c>
    </row>
    <row r="10" spans="1:13" ht="12.75">
      <c r="A10" s="3">
        <v>9</v>
      </c>
      <c r="B10" s="6">
        <f>iWoTab!C24</f>
        <v>497441.74334464065</v>
      </c>
      <c r="C10" s="68">
        <f>iWoVerm_mAusgl_fix!D25</f>
        <v>144147.546843752</v>
      </c>
      <c r="D10" s="71">
        <v>12984.812808318055</v>
      </c>
      <c r="E10" s="1">
        <f>iWoTab!G24</f>
        <v>19508.128693687722</v>
      </c>
      <c r="F10" s="1">
        <f>iWoTab!H24</f>
        <v>11113.94462278915</v>
      </c>
      <c r="G10" s="1">
        <f>iWoTab!I24</f>
        <v>0</v>
      </c>
      <c r="H10" s="1">
        <f>iWoTab!K24</f>
        <v>14923.25230033922</v>
      </c>
      <c r="I10" s="68">
        <f t="shared" si="2"/>
        <v>3338885</v>
      </c>
      <c r="J10" s="5">
        <v>4</v>
      </c>
      <c r="K10" s="70">
        <f t="shared" si="0"/>
        <v>196405</v>
      </c>
      <c r="L10" s="43">
        <f t="shared" si="1"/>
        <v>124328.68369239062</v>
      </c>
      <c r="M10" s="43">
        <f t="shared" si="3"/>
        <v>485874.4585529478</v>
      </c>
    </row>
    <row r="11" spans="1:13" ht="12.75">
      <c r="A11" s="3">
        <v>10</v>
      </c>
      <c r="B11" s="6">
        <f>iWoTab!C25</f>
        <v>503411.04426477634</v>
      </c>
      <c r="C11" s="68">
        <f>iWoVerm_mAusgl_fix!D26</f>
        <v>133914.17713922085</v>
      </c>
      <c r="D11" s="71">
        <v>15784.57684940233</v>
      </c>
      <c r="E11" s="1">
        <f>iWoTab!G25</f>
        <v>19898.291267561475</v>
      </c>
      <c r="F11" s="1">
        <f>iWoTab!H25</f>
        <v>12280.90880818201</v>
      </c>
      <c r="G11" s="1">
        <f>iWoTab!I25</f>
        <v>45000</v>
      </c>
      <c r="H11" s="1">
        <f>iWoTab!K25</f>
        <v>15102.33132794329</v>
      </c>
      <c r="I11" s="68">
        <f t="shared" si="2"/>
        <v>3142480</v>
      </c>
      <c r="J11" s="5">
        <v>4</v>
      </c>
      <c r="K11" s="70">
        <f t="shared" si="0"/>
        <v>196405</v>
      </c>
      <c r="L11" s="43">
        <f t="shared" si="1"/>
        <v>96594.91257127107</v>
      </c>
      <c r="M11" s="43">
        <f t="shared" si="3"/>
        <v>582469.3711242189</v>
      </c>
    </row>
    <row r="12" spans="1:13" ht="12.75">
      <c r="A12" s="3">
        <v>11</v>
      </c>
      <c r="B12" s="6">
        <f>iWoTab!C26</f>
        <v>506431.510530365</v>
      </c>
      <c r="C12" s="68">
        <f>iWoVerm_mAusgl_fix!D27</f>
        <v>129403.0877325469</v>
      </c>
      <c r="D12" s="71">
        <v>26167.989998575624</v>
      </c>
      <c r="E12" s="1">
        <f>iWoTab!G26</f>
        <v>20296.257092912707</v>
      </c>
      <c r="F12" s="1">
        <f>iWoTab!H26</f>
        <v>13570.404233041121</v>
      </c>
      <c r="G12" s="1">
        <f>iWoTab!I26</f>
        <v>5000</v>
      </c>
      <c r="H12" s="1">
        <f>iWoTab!K26</f>
        <v>15192.945315910949</v>
      </c>
      <c r="I12" s="68">
        <f t="shared" si="2"/>
        <v>2946075</v>
      </c>
      <c r="J12" s="5">
        <v>2.5</v>
      </c>
      <c r="K12" s="70">
        <f t="shared" si="0"/>
        <v>122753.125</v>
      </c>
      <c r="L12" s="43">
        <f t="shared" si="1"/>
        <v>226383.68115452898</v>
      </c>
      <c r="M12" s="43">
        <f t="shared" si="3"/>
        <v>808853.0522787479</v>
      </c>
    </row>
    <row r="13" spans="1:13" ht="12.75">
      <c r="A13" s="3">
        <v>12</v>
      </c>
      <c r="B13" s="6">
        <f>iWoTab!C27</f>
        <v>509470.0995935472</v>
      </c>
      <c r="C13" s="68">
        <f>iWoVerm_mAusgl_fix!D28</f>
        <v>114873.9272464997</v>
      </c>
      <c r="D13" s="71">
        <v>4814.285912418413</v>
      </c>
      <c r="E13" s="1">
        <f>iWoTab!G27</f>
        <v>20702.18223477096</v>
      </c>
      <c r="F13" s="1">
        <f>iWoTab!H27</f>
        <v>14995.296677510438</v>
      </c>
      <c r="G13" s="1">
        <f>iWoTab!I27</f>
        <v>0</v>
      </c>
      <c r="H13" s="1">
        <f>iWoTab!K27</f>
        <v>15284.102987806415</v>
      </c>
      <c r="I13" s="68">
        <f t="shared" si="2"/>
        <v>2823321.875</v>
      </c>
      <c r="J13" s="5">
        <v>2.5</v>
      </c>
      <c r="K13" s="70">
        <f t="shared" si="0"/>
        <v>122753.125</v>
      </c>
      <c r="L13" s="43">
        <f t="shared" si="1"/>
        <v>225675.75135937805</v>
      </c>
      <c r="M13" s="43">
        <f t="shared" si="3"/>
        <v>1034528.803638126</v>
      </c>
    </row>
    <row r="14" spans="1:13" ht="12.75">
      <c r="A14" s="3">
        <v>13</v>
      </c>
      <c r="B14" s="6">
        <f>iWoTab!C28</f>
        <v>512526.9201911085</v>
      </c>
      <c r="C14" s="68">
        <f>iWoVerm_mAusgl_fix!D29</f>
        <v>99473.01713128969</v>
      </c>
      <c r="D14" s="71">
        <v>8942.902762182912</v>
      </c>
      <c r="E14" s="1">
        <f>iWoTab!G28</f>
        <v>21116.22587946638</v>
      </c>
      <c r="F14" s="1">
        <f>iWoTab!H28</f>
        <v>16569.802828649033</v>
      </c>
      <c r="G14" s="1">
        <f>iWoTab!I28</f>
        <v>0</v>
      </c>
      <c r="H14" s="1">
        <f>iWoTab!K28</f>
        <v>15375.807605733255</v>
      </c>
      <c r="I14" s="68">
        <f t="shared" si="2"/>
        <v>2700568.75</v>
      </c>
      <c r="J14" s="5">
        <v>2.5</v>
      </c>
      <c r="K14" s="70">
        <f t="shared" si="0"/>
        <v>122753.125</v>
      </c>
      <c r="L14" s="43">
        <f t="shared" si="1"/>
        <v>246181.84450815298</v>
      </c>
      <c r="M14" s="43">
        <f t="shared" si="3"/>
        <v>1280710.648146279</v>
      </c>
    </row>
    <row r="15" spans="1:13" ht="12.75">
      <c r="A15" s="3">
        <v>14</v>
      </c>
      <c r="B15" s="6">
        <f>iWoTab!C29</f>
        <v>515602.08171225514</v>
      </c>
      <c r="C15" s="68">
        <f>iWoVerm_mAusgl_fix!D30</f>
        <v>83148.05240916707</v>
      </c>
      <c r="D15" s="71">
        <v>13301.25284845783</v>
      </c>
      <c r="E15" s="1">
        <f>iWoTab!G29</f>
        <v>21538.550397055707</v>
      </c>
      <c r="F15" s="1">
        <f>iWoTab!H29</f>
        <v>18309.632125657183</v>
      </c>
      <c r="G15" s="1">
        <f>iWoTab!I29</f>
        <v>50000</v>
      </c>
      <c r="H15" s="1">
        <f>iWoTab!K29</f>
        <v>15468.062451367654</v>
      </c>
      <c r="I15" s="68">
        <f t="shared" si="2"/>
        <v>2577815.625</v>
      </c>
      <c r="J15" s="5">
        <v>2.5</v>
      </c>
      <c r="K15" s="70">
        <f t="shared" si="0"/>
        <v>122753.125</v>
      </c>
      <c r="L15" s="43">
        <f t="shared" si="1"/>
        <v>217685.9121774654</v>
      </c>
      <c r="M15" s="43">
        <f t="shared" si="3"/>
        <v>1498396.5603237443</v>
      </c>
    </row>
    <row r="16" spans="1:13" ht="12.75">
      <c r="A16" s="3">
        <v>15</v>
      </c>
      <c r="B16" s="6">
        <f>iWoTab!C30</f>
        <v>518695.6942025287</v>
      </c>
      <c r="C16" s="68">
        <f>iWoVerm_mAusgl_fix!D31</f>
        <v>65843.5898037171</v>
      </c>
      <c r="D16" s="71">
        <v>15642.662567356294</v>
      </c>
      <c r="E16" s="1">
        <f>iWoTab!G30</f>
        <v>21969.321404996823</v>
      </c>
      <c r="F16" s="1">
        <f>iWoTab!H30</f>
        <v>20232.143498851186</v>
      </c>
      <c r="G16" s="1">
        <f>iWoTab!I30</f>
        <v>0</v>
      </c>
      <c r="H16" s="1">
        <f>iWoTab!K30</f>
        <v>15560.87082607586</v>
      </c>
      <c r="I16" s="68">
        <f t="shared" si="2"/>
        <v>2455062.5</v>
      </c>
      <c r="J16" s="5">
        <v>2.5</v>
      </c>
      <c r="K16" s="70">
        <f t="shared" si="0"/>
        <v>122753.125</v>
      </c>
      <c r="L16" s="43">
        <f t="shared" si="1"/>
        <v>287979.30623624404</v>
      </c>
      <c r="M16" s="43">
        <f t="shared" si="3"/>
        <v>1786375.8665599884</v>
      </c>
    </row>
    <row r="17" spans="1:13" ht="12.75">
      <c r="A17" s="3">
        <v>16</v>
      </c>
      <c r="B17" s="6">
        <f>iWoTab!C31</f>
        <v>518695.6942025287</v>
      </c>
      <c r="C17" s="68">
        <f>iWoVerm_mAusgl_fix!D32</f>
        <v>47500.85944194012</v>
      </c>
      <c r="D17" s="71">
        <v>20368.57420165455</v>
      </c>
      <c r="E17" s="1">
        <f>iWoTab!G31</f>
        <v>22408.70783309676</v>
      </c>
      <c r="F17" s="1">
        <f>iWoTab!H31</f>
        <v>22356.51856623056</v>
      </c>
      <c r="G17" s="1">
        <f>iWoTab!I31</f>
        <v>0</v>
      </c>
      <c r="H17" s="1">
        <f>iWoTab!K31</f>
        <v>15560.87082607586</v>
      </c>
      <c r="I17" s="68">
        <f t="shared" si="2"/>
        <v>2332309.375</v>
      </c>
      <c r="J17" s="5">
        <v>2.5</v>
      </c>
      <c r="K17" s="70">
        <f t="shared" si="0"/>
        <v>122753.125</v>
      </c>
      <c r="L17" s="43">
        <f t="shared" si="1"/>
        <v>308484.18673684</v>
      </c>
      <c r="M17" s="43">
        <f t="shared" si="3"/>
        <v>2094860.0532968284</v>
      </c>
    </row>
    <row r="18" spans="1:13" ht="12.75">
      <c r="A18" s="3">
        <v>17</v>
      </c>
      <c r="B18" s="6">
        <f>iWoTab!C32</f>
        <v>518695.6942025287</v>
      </c>
      <c r="C18" s="68">
        <f>iWoVerm_mAusgl_fix!D33</f>
        <v>28057.56525845653</v>
      </c>
      <c r="D18" s="71">
        <v>25191.78259219965</v>
      </c>
      <c r="E18" s="1">
        <f>iWoTab!G32</f>
        <v>22856.881989758695</v>
      </c>
      <c r="F18" s="1">
        <f>iWoTab!H32</f>
        <v>24703.95301568477</v>
      </c>
      <c r="G18" s="1">
        <f>iWoTab!I32</f>
        <v>40000</v>
      </c>
      <c r="H18" s="1">
        <f>iWoTab!K32</f>
        <v>15560.87082607586</v>
      </c>
      <c r="I18" s="68">
        <f t="shared" si="2"/>
        <v>2209556.25</v>
      </c>
      <c r="J18" s="5">
        <v>2.5</v>
      </c>
      <c r="K18" s="70">
        <f t="shared" si="0"/>
        <v>122753.125</v>
      </c>
      <c r="L18" s="43">
        <f t="shared" si="1"/>
        <v>289955.0807047525</v>
      </c>
      <c r="M18" s="43">
        <f t="shared" si="3"/>
        <v>2384815.134001581</v>
      </c>
    </row>
    <row r="19" spans="1:13" ht="12.75">
      <c r="A19" s="3">
        <v>18</v>
      </c>
      <c r="B19" s="6">
        <f>iWoTab!C33</f>
        <v>518695.6942025287</v>
      </c>
      <c r="C19" s="68">
        <f>iWoVerm_mAusgl_fix!D34</f>
        <v>7447.673423963921</v>
      </c>
      <c r="D19" s="71">
        <v>28306.23297304405</v>
      </c>
      <c r="E19" s="1">
        <f>iWoTab!G33</f>
        <v>23314.01962955387</v>
      </c>
      <c r="F19" s="1">
        <f>iWoTab!H33</f>
        <v>27297.868082331668</v>
      </c>
      <c r="G19" s="1">
        <f>iWoTab!I33</f>
        <v>32000</v>
      </c>
      <c r="H19" s="1">
        <f>iWoTab!K33</f>
        <v>15560.87082607586</v>
      </c>
      <c r="I19" s="68">
        <f t="shared" si="2"/>
        <v>2086803.125</v>
      </c>
      <c r="J19" s="5">
        <v>2.5</v>
      </c>
      <c r="K19" s="70">
        <f t="shared" si="0"/>
        <v>122753.125</v>
      </c>
      <c r="L19" s="43">
        <f t="shared" si="1"/>
        <v>318628.3702136474</v>
      </c>
      <c r="M19" s="43">
        <f t="shared" si="3"/>
        <v>2703443.5042152284</v>
      </c>
    </row>
    <row r="20" spans="1:13" ht="12.75">
      <c r="A20" s="3">
        <v>19</v>
      </c>
      <c r="B20" s="6">
        <f>iWoTab!C34</f>
        <v>518695.6942025287</v>
      </c>
      <c r="C20" s="68">
        <f>iWoVerm_mAusgl_fix!D35</f>
        <v>0</v>
      </c>
      <c r="D20" s="71">
        <v>42582.645189685245</v>
      </c>
      <c r="E20" s="1">
        <f>iWoTab!G34</f>
        <v>23780.300022144947</v>
      </c>
      <c r="F20" s="1">
        <f>iWoTab!H34</f>
        <v>30164.144230976493</v>
      </c>
      <c r="G20" s="1">
        <f>iWoTab!I34</f>
        <v>15000</v>
      </c>
      <c r="H20" s="1">
        <f>iWoTab!K34</f>
        <v>15560.87082607586</v>
      </c>
      <c r="I20" s="68">
        <f t="shared" si="2"/>
        <v>1964050</v>
      </c>
      <c r="J20" s="5">
        <v>1.25</v>
      </c>
      <c r="K20" s="70">
        <f t="shared" si="0"/>
        <v>61376.5625</v>
      </c>
      <c r="L20" s="43">
        <f t="shared" si="1"/>
        <v>415396.46181301674</v>
      </c>
      <c r="M20" s="43">
        <f t="shared" si="3"/>
        <v>3118839.966028245</v>
      </c>
    </row>
    <row r="21" spans="1:13" ht="12.75">
      <c r="A21" s="3">
        <v>20</v>
      </c>
      <c r="B21" s="6">
        <f>iWoTab!C35</f>
        <v>518695.6942025287</v>
      </c>
      <c r="C21" s="68">
        <f>iWoVerm_mAusgl_fix!D36</f>
        <v>0</v>
      </c>
      <c r="D21" s="71">
        <v>64037.431283771</v>
      </c>
      <c r="E21" s="1">
        <f>iWoTab!G35</f>
        <v>24255.906022587846</v>
      </c>
      <c r="F21" s="1">
        <f>iWoTab!H35</f>
        <v>33331.37937522902</v>
      </c>
      <c r="G21" s="1">
        <f>iWoTab!I35</f>
        <v>0</v>
      </c>
      <c r="H21" s="1">
        <f>iWoTab!K35</f>
        <v>15560.87082607586</v>
      </c>
      <c r="I21" s="68">
        <f t="shared" si="2"/>
        <v>1902673.4375</v>
      </c>
      <c r="J21" s="5">
        <v>1.25</v>
      </c>
      <c r="K21" s="70">
        <f t="shared" si="0"/>
        <v>61376.5625</v>
      </c>
      <c r="L21" s="43">
        <f t="shared" si="1"/>
        <v>448208.406762407</v>
      </c>
      <c r="M21" s="43">
        <f t="shared" si="3"/>
        <v>3567048.3727906523</v>
      </c>
    </row>
    <row r="25" ht="12.75">
      <c r="A25" t="s">
        <v>191</v>
      </c>
    </row>
    <row r="27" spans="3:4" ht="12.75">
      <c r="C27" t="s">
        <v>195</v>
      </c>
      <c r="D27" s="1">
        <f>iWoTab!$B$35-I21</f>
        <v>4470091.048990264</v>
      </c>
    </row>
    <row r="28" spans="3:4" ht="12.75">
      <c r="C28" t="s">
        <v>196</v>
      </c>
      <c r="D28" s="1">
        <f>D27*0.25</f>
        <v>1117522.762247566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R33"/>
  <sheetViews>
    <sheetView zoomScale="120" zoomScaleNormal="12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4" sqref="D4"/>
    </sheetView>
  </sheetViews>
  <sheetFormatPr defaultColWidth="11.421875" defaultRowHeight="12.75"/>
  <cols>
    <col min="1" max="1" width="3.28125" style="0" bestFit="1" customWidth="1"/>
    <col min="2" max="2" width="8.00390625" style="0" customWidth="1"/>
    <col min="3" max="3" width="12.7109375" style="0" bestFit="1" customWidth="1"/>
    <col min="4" max="5" width="10.28125" style="0" customWidth="1"/>
    <col min="6" max="6" width="7.00390625" style="0" customWidth="1"/>
    <col min="7" max="7" width="8.28125" style="0" customWidth="1"/>
    <col min="8" max="8" width="8.7109375" style="0" customWidth="1"/>
    <col min="9" max="9" width="7.28125" style="0" customWidth="1"/>
    <col min="10" max="11" width="8.00390625" style="0" customWidth="1"/>
    <col min="12" max="12" width="9.57421875" style="0" customWidth="1"/>
    <col min="13" max="13" width="13.00390625" style="0" bestFit="1" customWidth="1"/>
    <col min="14" max="14" width="8.00390625" style="0" customWidth="1"/>
    <col min="15" max="15" width="9.421875" style="0" customWidth="1"/>
    <col min="16" max="16" width="10.28125" style="0" customWidth="1"/>
    <col min="17" max="17" width="8.00390625" style="0" customWidth="1"/>
  </cols>
  <sheetData>
    <row r="3" spans="2:5" ht="12.75">
      <c r="B3" t="s">
        <v>199</v>
      </c>
      <c r="D3" s="5">
        <v>0.3</v>
      </c>
      <c r="E3" s="5"/>
    </row>
    <row r="6" spans="1:18" ht="12.75">
      <c r="A6" s="28" t="s">
        <v>123</v>
      </c>
      <c r="B6" s="28" t="s">
        <v>128</v>
      </c>
      <c r="C6" s="28" t="s">
        <v>189</v>
      </c>
      <c r="D6" s="28" t="s">
        <v>190</v>
      </c>
      <c r="E6" s="28" t="s">
        <v>205</v>
      </c>
      <c r="F6" s="28" t="s">
        <v>131</v>
      </c>
      <c r="G6" s="28" t="s">
        <v>138</v>
      </c>
      <c r="H6" s="28" t="s">
        <v>137</v>
      </c>
      <c r="I6" s="28" t="s">
        <v>130</v>
      </c>
      <c r="J6" s="28" t="s">
        <v>198</v>
      </c>
      <c r="K6" s="28" t="s">
        <v>204</v>
      </c>
      <c r="L6" s="67" t="s">
        <v>193</v>
      </c>
      <c r="M6" s="28" t="s">
        <v>192</v>
      </c>
      <c r="N6" s="69" t="s">
        <v>187</v>
      </c>
      <c r="O6" s="28" t="s">
        <v>200</v>
      </c>
      <c r="P6" s="28" t="s">
        <v>202</v>
      </c>
      <c r="Q6" s="28" t="s">
        <v>201</v>
      </c>
      <c r="R6" s="28" t="s">
        <v>203</v>
      </c>
    </row>
    <row r="7" spans="1:18" ht="12.75">
      <c r="A7" s="3">
        <v>1</v>
      </c>
      <c r="B7" s="6">
        <f>iWoTab!C16</f>
        <v>441600</v>
      </c>
      <c r="C7" s="68">
        <f>iWoVerm_mAusgl_fix!D17</f>
        <v>211645.6875</v>
      </c>
      <c r="D7" s="72">
        <v>0</v>
      </c>
      <c r="E7" s="72">
        <f>iWoDat!$D$17</f>
        <v>428926.4019105</v>
      </c>
      <c r="F7" s="1">
        <f>iWoTab!G16</f>
        <v>16650</v>
      </c>
      <c r="G7" s="1">
        <f>iWoTab!H16</f>
        <v>5000</v>
      </c>
      <c r="H7" s="1">
        <f>iWoTab!I16</f>
        <v>0</v>
      </c>
      <c r="I7" s="1">
        <f>iWoTab!K16</f>
        <v>44160</v>
      </c>
      <c r="J7" s="1">
        <f>SUM(F7:I7)</f>
        <v>65810</v>
      </c>
      <c r="K7" s="1">
        <f>B7-J7-E7</f>
        <v>-53136.40191050002</v>
      </c>
      <c r="L7" s="68">
        <f>iWoHK!$B$24</f>
        <v>4910125</v>
      </c>
      <c r="M7" s="5">
        <v>4</v>
      </c>
      <c r="N7" s="70">
        <f aca="true" t="shared" si="0" ref="N7:N26">$L$7*M7/100</f>
        <v>196405</v>
      </c>
      <c r="O7" s="43">
        <f aca="true" t="shared" si="1" ref="O7:O26">B7-C7+D7-F7-G7-H7-I7-N7</f>
        <v>-32260.6875</v>
      </c>
      <c r="P7" s="43">
        <f>O7</f>
        <v>-32260.6875</v>
      </c>
      <c r="Q7" s="1"/>
      <c r="R7" s="1">
        <f>K7-Q7</f>
        <v>-53136.40191050002</v>
      </c>
    </row>
    <row r="8" spans="1:18" ht="12.75">
      <c r="A8" s="3">
        <v>2</v>
      </c>
      <c r="B8" s="6">
        <f>iWoTab!C17</f>
        <v>449548.8</v>
      </c>
      <c r="C8" s="68">
        <f>iWoVerm_mAusgl_fix!D18</f>
        <v>204449.734125</v>
      </c>
      <c r="D8" s="72">
        <v>127.02712499999964</v>
      </c>
      <c r="E8" s="72">
        <f>iWoDat!$D$17</f>
        <v>428926.4019105</v>
      </c>
      <c r="F8" s="1">
        <f>iWoTab!G17</f>
        <v>16983</v>
      </c>
      <c r="G8" s="1">
        <f>iWoTab!H17</f>
        <v>5525</v>
      </c>
      <c r="H8" s="1">
        <f>iWoTab!I17</f>
        <v>0</v>
      </c>
      <c r="I8" s="1">
        <f>iWoTab!K17</f>
        <v>13486.464</v>
      </c>
      <c r="J8" s="1">
        <f aca="true" t="shared" si="2" ref="J8:J26">SUM(F8:I8)</f>
        <v>35994.464</v>
      </c>
      <c r="K8" s="1">
        <f aca="true" t="shared" si="3" ref="K8:K26">B8-J8-E8</f>
        <v>-15372.065910500009</v>
      </c>
      <c r="L8" s="68">
        <f aca="true" t="shared" si="4" ref="L8:L26">L7-N7</f>
        <v>4713720</v>
      </c>
      <c r="M8" s="5">
        <v>4</v>
      </c>
      <c r="N8" s="70">
        <f t="shared" si="0"/>
        <v>196405</v>
      </c>
      <c r="O8" s="43">
        <f t="shared" si="1"/>
        <v>12826.628999999986</v>
      </c>
      <c r="P8" s="43">
        <f>P7+O8</f>
        <v>-19434.058500000014</v>
      </c>
      <c r="Q8" s="1"/>
      <c r="R8" s="1">
        <f>K8-Q8</f>
        <v>-15372.065910500009</v>
      </c>
    </row>
    <row r="9" spans="1:18" ht="12.75">
      <c r="A9" s="3">
        <v>3</v>
      </c>
      <c r="B9" s="6">
        <f>iWoTab!C18</f>
        <v>457640.6784</v>
      </c>
      <c r="C9" s="68">
        <f>iWoVerm_mAusgl_fix!D19</f>
        <v>196929.962848125</v>
      </c>
      <c r="D9" s="72">
        <v>1390.7951437499996</v>
      </c>
      <c r="E9" s="72">
        <f>iWoDat!$D$17</f>
        <v>428926.4019105</v>
      </c>
      <c r="F9" s="1">
        <f>iWoTab!G18</f>
        <v>17322.66</v>
      </c>
      <c r="G9" s="1">
        <f>iWoTab!H18</f>
        <v>6105.125</v>
      </c>
      <c r="H9" s="1">
        <f>iWoTab!I18</f>
        <v>0</v>
      </c>
      <c r="I9" s="1">
        <f>iWoTab!K18</f>
        <v>13729.220351999998</v>
      </c>
      <c r="J9" s="1">
        <f t="shared" si="2"/>
        <v>37157.005352</v>
      </c>
      <c r="K9" s="1">
        <f t="shared" si="3"/>
        <v>-8442.728862500051</v>
      </c>
      <c r="L9" s="68">
        <f t="shared" si="4"/>
        <v>4517315</v>
      </c>
      <c r="M9" s="5">
        <v>4</v>
      </c>
      <c r="N9" s="70">
        <f t="shared" si="0"/>
        <v>196405</v>
      </c>
      <c r="O9" s="43">
        <f t="shared" si="1"/>
        <v>28539.505343624973</v>
      </c>
      <c r="P9" s="43">
        <f>P8+O9</f>
        <v>9105.446843624959</v>
      </c>
      <c r="Q9" s="1">
        <f>P9*$D$3</f>
        <v>2731.6340530874877</v>
      </c>
      <c r="R9" s="1">
        <f>K9-Q9</f>
        <v>-11174.362915587539</v>
      </c>
    </row>
    <row r="10" spans="1:18" ht="12.75">
      <c r="A10" s="3">
        <v>4</v>
      </c>
      <c r="B10" s="6">
        <f>iWoTab!C19</f>
        <v>465878.21061119996</v>
      </c>
      <c r="C10" s="68">
        <f>iWoVerm_mAusgl_fix!D20</f>
        <v>189071.8018637906</v>
      </c>
      <c r="D10" s="72">
        <v>2900.3563145024996</v>
      </c>
      <c r="E10" s="72">
        <f>iWoDat!$D$17</f>
        <v>428926.4019105</v>
      </c>
      <c r="F10" s="1">
        <f>iWoTab!G19</f>
        <v>17669.1132</v>
      </c>
      <c r="G10" s="1">
        <f>iWoTab!H19</f>
        <v>6746.163125</v>
      </c>
      <c r="H10" s="1">
        <f>iWoTab!I19</f>
        <v>0</v>
      </c>
      <c r="I10" s="1">
        <f>iWoTab!K19</f>
        <v>13976.346318335998</v>
      </c>
      <c r="J10" s="1">
        <f t="shared" si="2"/>
        <v>38391.622643336</v>
      </c>
      <c r="K10" s="1">
        <f t="shared" si="3"/>
        <v>-1439.8139426360722</v>
      </c>
      <c r="L10" s="68">
        <f t="shared" si="4"/>
        <v>4320910</v>
      </c>
      <c r="M10" s="5">
        <v>4</v>
      </c>
      <c r="N10" s="70">
        <f t="shared" si="0"/>
        <v>196405</v>
      </c>
      <c r="O10" s="43">
        <f t="shared" si="1"/>
        <v>44910.14241857585</v>
      </c>
      <c r="P10" s="43"/>
      <c r="Q10" s="1">
        <f aca="true" t="shared" si="5" ref="Q10:Q26">O10*$D$3</f>
        <v>13473.042725572755</v>
      </c>
      <c r="R10" s="1">
        <f aca="true" t="shared" si="6" ref="R10:R26">K10-Q10</f>
        <v>-14912.856668208828</v>
      </c>
    </row>
    <row r="11" spans="1:18" ht="12.75">
      <c r="A11" s="3">
        <v>5</v>
      </c>
      <c r="B11" s="6">
        <f>iWoTab!C20</f>
        <v>474264.0184022016</v>
      </c>
      <c r="C11" s="68">
        <f>iWoVerm_mAusgl_fix!D21</f>
        <v>180860.0236351612</v>
      </c>
      <c r="D11" s="72">
        <v>4665.291767973493</v>
      </c>
      <c r="E11" s="72">
        <f>iWoDat!$D$17</f>
        <v>428926.4019105</v>
      </c>
      <c r="F11" s="1">
        <f>iWoTab!G20</f>
        <v>18022.495464</v>
      </c>
      <c r="G11" s="1">
        <f>iWoTab!H20</f>
        <v>7454.5102531249995</v>
      </c>
      <c r="H11" s="1">
        <f>iWoTab!I20</f>
        <v>0</v>
      </c>
      <c r="I11" s="1">
        <f>iWoTab!K20</f>
        <v>14227.920552066047</v>
      </c>
      <c r="J11" s="1">
        <f t="shared" si="2"/>
        <v>39704.92626919105</v>
      </c>
      <c r="K11" s="1">
        <f t="shared" si="3"/>
        <v>5632.690222510544</v>
      </c>
      <c r="L11" s="68">
        <f t="shared" si="4"/>
        <v>4124505</v>
      </c>
      <c r="M11" s="5">
        <v>4</v>
      </c>
      <c r="N11" s="70">
        <f t="shared" si="0"/>
        <v>196405</v>
      </c>
      <c r="O11" s="43">
        <f t="shared" si="1"/>
        <v>61959.36026582285</v>
      </c>
      <c r="P11" s="43"/>
      <c r="Q11" s="1">
        <f t="shared" si="5"/>
        <v>18587.808079746854</v>
      </c>
      <c r="R11" s="1">
        <f t="shared" si="6"/>
        <v>-12955.11785723631</v>
      </c>
    </row>
    <row r="12" spans="1:18" ht="12.75">
      <c r="A12" s="3">
        <v>6</v>
      </c>
      <c r="B12" s="6">
        <f>iWoTab!C21</f>
        <v>479955.186623028</v>
      </c>
      <c r="C12" s="68">
        <f>iWoVerm_mAusgl_fix!D22</f>
        <v>172278.71538624345</v>
      </c>
      <c r="D12" s="72">
        <v>6695.350410003014</v>
      </c>
      <c r="E12" s="72">
        <f>iWoDat!$D$17</f>
        <v>428926.4019105</v>
      </c>
      <c r="F12" s="1">
        <f>iWoTab!G21</f>
        <v>18382.94537328</v>
      </c>
      <c r="G12" s="1">
        <f>iWoTab!H21</f>
        <v>8237.233829703124</v>
      </c>
      <c r="H12" s="1">
        <f>iWoTab!I21</f>
        <v>16000</v>
      </c>
      <c r="I12" s="1">
        <f>iWoTab!K21</f>
        <v>14398.65559869084</v>
      </c>
      <c r="J12" s="1">
        <f t="shared" si="2"/>
        <v>57018.83480167397</v>
      </c>
      <c r="K12" s="1">
        <f t="shared" si="3"/>
        <v>-5990.050089145952</v>
      </c>
      <c r="L12" s="68">
        <f t="shared" si="4"/>
        <v>3928100</v>
      </c>
      <c r="M12" s="5">
        <v>4</v>
      </c>
      <c r="N12" s="70">
        <f t="shared" si="0"/>
        <v>196405</v>
      </c>
      <c r="O12" s="43">
        <f t="shared" si="1"/>
        <v>60947.986845113686</v>
      </c>
      <c r="P12" s="43"/>
      <c r="Q12" s="1">
        <f t="shared" si="5"/>
        <v>18284.396053534107</v>
      </c>
      <c r="R12" s="1">
        <f t="shared" si="6"/>
        <v>-24274.44614268006</v>
      </c>
    </row>
    <row r="13" spans="1:18" ht="12.75">
      <c r="A13" s="3">
        <v>7</v>
      </c>
      <c r="B13" s="6">
        <f>iWoTab!C22</f>
        <v>485714.64886250434</v>
      </c>
      <c r="C13" s="68">
        <f>iWoVerm_mAusgl_fix!D23</f>
        <v>163311.2482661244</v>
      </c>
      <c r="D13" s="72">
        <v>8437.628601943727</v>
      </c>
      <c r="E13" s="72">
        <f>iWoDat!$D$17</f>
        <v>428926.4019105</v>
      </c>
      <c r="F13" s="1">
        <f>iWoTab!G22</f>
        <v>18750.6042807456</v>
      </c>
      <c r="G13" s="1">
        <f>iWoTab!H22</f>
        <v>9102.143381821952</v>
      </c>
      <c r="H13" s="1">
        <f>iWoTab!I22</f>
        <v>0</v>
      </c>
      <c r="I13" s="1">
        <f>iWoTab!K22</f>
        <v>14571.43946587513</v>
      </c>
      <c r="J13" s="1">
        <f t="shared" si="2"/>
        <v>42424.18712844268</v>
      </c>
      <c r="K13" s="1">
        <f t="shared" si="3"/>
        <v>14364.059823561634</v>
      </c>
      <c r="L13" s="68">
        <f t="shared" si="4"/>
        <v>3731695</v>
      </c>
      <c r="M13" s="5">
        <v>4</v>
      </c>
      <c r="N13" s="70">
        <f t="shared" si="0"/>
        <v>196405</v>
      </c>
      <c r="O13" s="43">
        <f t="shared" si="1"/>
        <v>92011.84206988092</v>
      </c>
      <c r="P13" s="43"/>
      <c r="Q13" s="1">
        <f t="shared" si="5"/>
        <v>27603.552620964274</v>
      </c>
      <c r="R13" s="1">
        <f t="shared" si="6"/>
        <v>-13239.49279740264</v>
      </c>
    </row>
    <row r="14" spans="1:18" ht="12.75">
      <c r="A14" s="3">
        <v>8</v>
      </c>
      <c r="B14" s="6">
        <f>iWoTab!C23</f>
        <v>491543.2246488544</v>
      </c>
      <c r="C14" s="68">
        <f>iWoVerm_mAusgl_fix!D24</f>
        <v>153940.24512560002</v>
      </c>
      <c r="D14" s="72">
        <v>10842.798437023888</v>
      </c>
      <c r="E14" s="72">
        <f>iWoDat!$D$17</f>
        <v>428926.4019105</v>
      </c>
      <c r="F14" s="1">
        <f>iWoTab!G23</f>
        <v>19125.61636636051</v>
      </c>
      <c r="G14" s="1">
        <f>iWoTab!H23</f>
        <v>10057.868436913257</v>
      </c>
      <c r="H14" s="1">
        <f>iWoTab!I23</f>
        <v>15500</v>
      </c>
      <c r="I14" s="1">
        <f>iWoTab!K23</f>
        <v>14746.296739465632</v>
      </c>
      <c r="J14" s="1">
        <f t="shared" si="2"/>
        <v>59429.781542739394</v>
      </c>
      <c r="K14" s="1">
        <f t="shared" si="3"/>
        <v>3187.041195614962</v>
      </c>
      <c r="L14" s="68">
        <f t="shared" si="4"/>
        <v>3535290</v>
      </c>
      <c r="M14" s="5">
        <v>4</v>
      </c>
      <c r="N14" s="70">
        <f t="shared" si="0"/>
        <v>196405</v>
      </c>
      <c r="O14" s="43">
        <f t="shared" si="1"/>
        <v>92610.9964175389</v>
      </c>
      <c r="P14" s="43"/>
      <c r="Q14" s="1">
        <f t="shared" si="5"/>
        <v>27783.29892526167</v>
      </c>
      <c r="R14" s="1">
        <f t="shared" si="6"/>
        <v>-24596.25772964671</v>
      </c>
    </row>
    <row r="15" spans="1:18" ht="12.75">
      <c r="A15" s="3">
        <v>9</v>
      </c>
      <c r="B15" s="6">
        <f>iWoTab!C24</f>
        <v>497441.74334464065</v>
      </c>
      <c r="C15" s="68">
        <f>iWoVerm_mAusgl_fix!D25</f>
        <v>144147.546843752</v>
      </c>
      <c r="D15" s="72">
        <v>12984.812808318055</v>
      </c>
      <c r="E15" s="72">
        <f>iWoDat!$D$17</f>
        <v>428926.4019105</v>
      </c>
      <c r="F15" s="1">
        <f>iWoTab!G24</f>
        <v>19508.128693687722</v>
      </c>
      <c r="G15" s="1">
        <f>iWoTab!H24</f>
        <v>11113.94462278915</v>
      </c>
      <c r="H15" s="1">
        <f>iWoTab!I24</f>
        <v>0</v>
      </c>
      <c r="I15" s="1">
        <f>iWoTab!K24</f>
        <v>14923.25230033922</v>
      </c>
      <c r="J15" s="1">
        <f t="shared" si="2"/>
        <v>45545.32561681609</v>
      </c>
      <c r="K15" s="1">
        <f t="shared" si="3"/>
        <v>22970.015817324515</v>
      </c>
      <c r="L15" s="68">
        <f t="shared" si="4"/>
        <v>3338885</v>
      </c>
      <c r="M15" s="5">
        <v>4</v>
      </c>
      <c r="N15" s="70">
        <f t="shared" si="0"/>
        <v>196405</v>
      </c>
      <c r="O15" s="43">
        <f t="shared" si="1"/>
        <v>124328.68369239062</v>
      </c>
      <c r="P15" s="43"/>
      <c r="Q15" s="1">
        <f t="shared" si="5"/>
        <v>37298.60510771719</v>
      </c>
      <c r="R15" s="1">
        <f t="shared" si="6"/>
        <v>-14328.589290392672</v>
      </c>
    </row>
    <row r="16" spans="1:18" ht="12.75">
      <c r="A16" s="3">
        <v>10</v>
      </c>
      <c r="B16" s="6">
        <f>iWoTab!C25</f>
        <v>503411.04426477634</v>
      </c>
      <c r="C16" s="68">
        <f>iWoVerm_mAusgl_fix!D26</f>
        <v>133914.17713922085</v>
      </c>
      <c r="D16" s="72">
        <v>15784.57684940233</v>
      </c>
      <c r="E16" s="72">
        <f>iWoDat!$D$17</f>
        <v>428926.4019105</v>
      </c>
      <c r="F16" s="1">
        <f>iWoTab!G25</f>
        <v>19898.291267561475</v>
      </c>
      <c r="G16" s="1">
        <f>iWoTab!H25</f>
        <v>12280.90880818201</v>
      </c>
      <c r="H16" s="1">
        <f>iWoTab!I25</f>
        <v>45000</v>
      </c>
      <c r="I16" s="1">
        <f>iWoTab!K25</f>
        <v>15102.33132794329</v>
      </c>
      <c r="J16" s="1">
        <f t="shared" si="2"/>
        <v>92281.53140368678</v>
      </c>
      <c r="K16" s="1">
        <f t="shared" si="3"/>
        <v>-17796.88904941047</v>
      </c>
      <c r="L16" s="68">
        <f t="shared" si="4"/>
        <v>3142480</v>
      </c>
      <c r="M16" s="5">
        <v>4</v>
      </c>
      <c r="N16" s="70">
        <f t="shared" si="0"/>
        <v>196405</v>
      </c>
      <c r="O16" s="43">
        <f t="shared" si="1"/>
        <v>96594.91257127107</v>
      </c>
      <c r="P16" s="43"/>
      <c r="Q16" s="1">
        <f t="shared" si="5"/>
        <v>28978.47377138132</v>
      </c>
      <c r="R16" s="1">
        <f t="shared" si="6"/>
        <v>-46775.36282079179</v>
      </c>
    </row>
    <row r="17" spans="1:18" ht="12.75">
      <c r="A17" s="3">
        <v>11</v>
      </c>
      <c r="B17" s="6">
        <f>iWoTab!C26</f>
        <v>506431.510530365</v>
      </c>
      <c r="C17" s="68">
        <f>iWoVerm_mAusgl_fix!D27</f>
        <v>129403.0877325469</v>
      </c>
      <c r="D17" s="72">
        <v>26167.989998575624</v>
      </c>
      <c r="E17" s="72">
        <f>iWoDat!$D$17</f>
        <v>428926.4019105</v>
      </c>
      <c r="F17" s="1">
        <f>iWoTab!G26</f>
        <v>20296.257092912707</v>
      </c>
      <c r="G17" s="1">
        <f>iWoTab!H26</f>
        <v>13570.404233041121</v>
      </c>
      <c r="H17" s="1">
        <f>iWoTab!I26</f>
        <v>5000</v>
      </c>
      <c r="I17" s="1">
        <f>iWoTab!K26</f>
        <v>15192.945315910949</v>
      </c>
      <c r="J17" s="1">
        <f t="shared" si="2"/>
        <v>54059.606641864775</v>
      </c>
      <c r="K17" s="1">
        <f t="shared" si="3"/>
        <v>23445.50197800022</v>
      </c>
      <c r="L17" s="68">
        <f t="shared" si="4"/>
        <v>2946075</v>
      </c>
      <c r="M17" s="5">
        <v>2.5</v>
      </c>
      <c r="N17" s="70">
        <f t="shared" si="0"/>
        <v>122753.125</v>
      </c>
      <c r="O17" s="43">
        <f t="shared" si="1"/>
        <v>226383.68115452898</v>
      </c>
      <c r="P17" s="43"/>
      <c r="Q17" s="1">
        <f t="shared" si="5"/>
        <v>67915.1043463587</v>
      </c>
      <c r="R17" s="1">
        <f t="shared" si="6"/>
        <v>-44469.60236835848</v>
      </c>
    </row>
    <row r="18" spans="1:18" ht="12.75">
      <c r="A18" s="3">
        <v>12</v>
      </c>
      <c r="B18" s="6">
        <f>iWoTab!C27</f>
        <v>509470.0995935472</v>
      </c>
      <c r="C18" s="68">
        <f>iWoVerm_mAusgl_fix!D28</f>
        <v>114873.9272464997</v>
      </c>
      <c r="D18" s="72">
        <v>4814.285912418413</v>
      </c>
      <c r="E18" s="72">
        <f>iWoDat!$D$17</f>
        <v>428926.4019105</v>
      </c>
      <c r="F18" s="1">
        <f>iWoTab!G27</f>
        <v>20702.18223477096</v>
      </c>
      <c r="G18" s="1">
        <f>iWoTab!H27</f>
        <v>14995.296677510438</v>
      </c>
      <c r="H18" s="1">
        <f>iWoTab!I27</f>
        <v>0</v>
      </c>
      <c r="I18" s="1">
        <f>iWoTab!K27</f>
        <v>15284.102987806415</v>
      </c>
      <c r="J18" s="1">
        <f t="shared" si="2"/>
        <v>50981.58190008781</v>
      </c>
      <c r="K18" s="1">
        <f t="shared" si="3"/>
        <v>29562.11578295933</v>
      </c>
      <c r="L18" s="68">
        <f t="shared" si="4"/>
        <v>2823321.875</v>
      </c>
      <c r="M18" s="5">
        <v>2.5</v>
      </c>
      <c r="N18" s="70">
        <f t="shared" si="0"/>
        <v>122753.125</v>
      </c>
      <c r="O18" s="43">
        <f t="shared" si="1"/>
        <v>225675.75135937805</v>
      </c>
      <c r="P18" s="43"/>
      <c r="Q18" s="1">
        <f t="shared" si="5"/>
        <v>67702.72540781341</v>
      </c>
      <c r="R18" s="1">
        <f t="shared" si="6"/>
        <v>-38140.609624854085</v>
      </c>
    </row>
    <row r="19" spans="1:18" ht="12.75">
      <c r="A19" s="3">
        <v>13</v>
      </c>
      <c r="B19" s="6">
        <f>iWoTab!C28</f>
        <v>512526.9201911085</v>
      </c>
      <c r="C19" s="68">
        <f>iWoVerm_mAusgl_fix!D29</f>
        <v>99473.01713128969</v>
      </c>
      <c r="D19" s="72">
        <v>8942.902762182912</v>
      </c>
      <c r="E19" s="72">
        <f>iWoDat!$D$17</f>
        <v>428926.4019105</v>
      </c>
      <c r="F19" s="1">
        <f>iWoTab!G28</f>
        <v>21116.22587946638</v>
      </c>
      <c r="G19" s="1">
        <f>iWoTab!H28</f>
        <v>16569.802828649033</v>
      </c>
      <c r="H19" s="1">
        <f>iWoTab!I28</f>
        <v>0</v>
      </c>
      <c r="I19" s="1">
        <f>iWoTab!K28</f>
        <v>15375.807605733255</v>
      </c>
      <c r="J19" s="1">
        <f t="shared" si="2"/>
        <v>53061.83631384866</v>
      </c>
      <c r="K19" s="1">
        <f t="shared" si="3"/>
        <v>30538.68196675979</v>
      </c>
      <c r="L19" s="68">
        <f t="shared" si="4"/>
        <v>2700568.75</v>
      </c>
      <c r="M19" s="5">
        <v>2.5</v>
      </c>
      <c r="N19" s="70">
        <f t="shared" si="0"/>
        <v>122753.125</v>
      </c>
      <c r="O19" s="43">
        <f t="shared" si="1"/>
        <v>246181.84450815298</v>
      </c>
      <c r="P19" s="43"/>
      <c r="Q19" s="1">
        <f t="shared" si="5"/>
        <v>73854.55335244589</v>
      </c>
      <c r="R19" s="1">
        <f t="shared" si="6"/>
        <v>-43315.8713856861</v>
      </c>
    </row>
    <row r="20" spans="1:18" ht="12.75">
      <c r="A20" s="3">
        <v>14</v>
      </c>
      <c r="B20" s="6">
        <f>iWoTab!C29</f>
        <v>515602.08171225514</v>
      </c>
      <c r="C20" s="68">
        <f>iWoVerm_mAusgl_fix!D30</f>
        <v>83148.05240916707</v>
      </c>
      <c r="D20" s="72">
        <v>13301.25284845783</v>
      </c>
      <c r="E20" s="72">
        <f>iWoDat!$D$17</f>
        <v>428926.4019105</v>
      </c>
      <c r="F20" s="1">
        <f>iWoTab!G29</f>
        <v>21538.550397055707</v>
      </c>
      <c r="G20" s="1">
        <f>iWoTab!H29</f>
        <v>18309.632125657183</v>
      </c>
      <c r="H20" s="1">
        <f>iWoTab!I29</f>
        <v>50000</v>
      </c>
      <c r="I20" s="1">
        <f>iWoTab!K29</f>
        <v>15468.062451367654</v>
      </c>
      <c r="J20" s="1">
        <f t="shared" si="2"/>
        <v>105316.24497408055</v>
      </c>
      <c r="K20" s="1">
        <f t="shared" si="3"/>
        <v>-18640.565172325412</v>
      </c>
      <c r="L20" s="68">
        <f t="shared" si="4"/>
        <v>2577815.625</v>
      </c>
      <c r="M20" s="5">
        <v>2.5</v>
      </c>
      <c r="N20" s="70">
        <f t="shared" si="0"/>
        <v>122753.125</v>
      </c>
      <c r="O20" s="43">
        <f t="shared" si="1"/>
        <v>217685.9121774654</v>
      </c>
      <c r="P20" s="43"/>
      <c r="Q20" s="1">
        <f t="shared" si="5"/>
        <v>65305.773653239616</v>
      </c>
      <c r="R20" s="1">
        <f t="shared" si="6"/>
        <v>-83946.33882556504</v>
      </c>
    </row>
    <row r="21" spans="1:18" ht="12.75">
      <c r="A21" s="3">
        <v>15</v>
      </c>
      <c r="B21" s="6">
        <f>iWoTab!C30</f>
        <v>518695.6942025287</v>
      </c>
      <c r="C21" s="68">
        <f>iWoVerm_mAusgl_fix!D31</f>
        <v>65843.5898037171</v>
      </c>
      <c r="D21" s="72">
        <v>15642.662567356294</v>
      </c>
      <c r="E21" s="72">
        <f>iWoDat!$D$17</f>
        <v>428926.4019105</v>
      </c>
      <c r="F21" s="1">
        <f>iWoTab!G30</f>
        <v>21969.321404996823</v>
      </c>
      <c r="G21" s="1">
        <f>iWoTab!H30</f>
        <v>20232.143498851186</v>
      </c>
      <c r="H21" s="1">
        <f>iWoTab!I30</f>
        <v>0</v>
      </c>
      <c r="I21" s="1">
        <f>iWoTab!K30</f>
        <v>15560.87082607586</v>
      </c>
      <c r="J21" s="1">
        <f t="shared" si="2"/>
        <v>57762.33572992387</v>
      </c>
      <c r="K21" s="1">
        <f t="shared" si="3"/>
        <v>32006.95656210481</v>
      </c>
      <c r="L21" s="68">
        <f t="shared" si="4"/>
        <v>2455062.5</v>
      </c>
      <c r="M21" s="5">
        <v>2.5</v>
      </c>
      <c r="N21" s="70">
        <f t="shared" si="0"/>
        <v>122753.125</v>
      </c>
      <c r="O21" s="43">
        <f t="shared" si="1"/>
        <v>287979.30623624404</v>
      </c>
      <c r="P21" s="43"/>
      <c r="Q21" s="1">
        <f t="shared" si="5"/>
        <v>86393.7918708732</v>
      </c>
      <c r="R21" s="1">
        <f t="shared" si="6"/>
        <v>-54386.83530876839</v>
      </c>
    </row>
    <row r="22" spans="1:18" ht="12.75">
      <c r="A22" s="3">
        <v>16</v>
      </c>
      <c r="B22" s="6">
        <f>iWoTab!C31</f>
        <v>518695.6942025287</v>
      </c>
      <c r="C22" s="68">
        <f>iWoVerm_mAusgl_fix!D32</f>
        <v>47500.85944194012</v>
      </c>
      <c r="D22" s="72">
        <v>20368.57420165455</v>
      </c>
      <c r="E22" s="72">
        <f>iWoDat!$D$17</f>
        <v>428926.4019105</v>
      </c>
      <c r="F22" s="1">
        <f>iWoTab!G31</f>
        <v>22408.70783309676</v>
      </c>
      <c r="G22" s="1">
        <f>iWoTab!H31</f>
        <v>22356.51856623056</v>
      </c>
      <c r="H22" s="1">
        <f>iWoTab!I31</f>
        <v>0</v>
      </c>
      <c r="I22" s="1">
        <f>iWoTab!K31</f>
        <v>15560.87082607586</v>
      </c>
      <c r="J22" s="1">
        <f t="shared" si="2"/>
        <v>60326.09722540318</v>
      </c>
      <c r="K22" s="1">
        <f t="shared" si="3"/>
        <v>29443.195066625485</v>
      </c>
      <c r="L22" s="68">
        <f t="shared" si="4"/>
        <v>2332309.375</v>
      </c>
      <c r="M22" s="5">
        <v>2.5</v>
      </c>
      <c r="N22" s="70">
        <f t="shared" si="0"/>
        <v>122753.125</v>
      </c>
      <c r="O22" s="43">
        <f t="shared" si="1"/>
        <v>308484.18673684</v>
      </c>
      <c r="P22" s="43"/>
      <c r="Q22" s="1">
        <f t="shared" si="5"/>
        <v>92545.256021052</v>
      </c>
      <c r="R22" s="1">
        <f t="shared" si="6"/>
        <v>-63102.06095442652</v>
      </c>
    </row>
    <row r="23" spans="1:18" ht="12.75">
      <c r="A23" s="3">
        <v>17</v>
      </c>
      <c r="B23" s="6">
        <f>iWoTab!C32</f>
        <v>518695.6942025287</v>
      </c>
      <c r="C23" s="68">
        <f>iWoVerm_mAusgl_fix!D33</f>
        <v>28057.56525845653</v>
      </c>
      <c r="D23" s="72">
        <v>25191.78259219965</v>
      </c>
      <c r="E23" s="72">
        <f>iWoDat!$D$17</f>
        <v>428926.4019105</v>
      </c>
      <c r="F23" s="1">
        <f>iWoTab!G32</f>
        <v>22856.881989758695</v>
      </c>
      <c r="G23" s="1">
        <f>iWoTab!H32</f>
        <v>24703.95301568477</v>
      </c>
      <c r="H23" s="1">
        <f>iWoTab!I32</f>
        <v>40000</v>
      </c>
      <c r="I23" s="1">
        <f>iWoTab!K32</f>
        <v>15560.87082607586</v>
      </c>
      <c r="J23" s="1">
        <f t="shared" si="2"/>
        <v>103121.70583151931</v>
      </c>
      <c r="K23" s="1">
        <f t="shared" si="3"/>
        <v>-13352.413539490663</v>
      </c>
      <c r="L23" s="68">
        <f t="shared" si="4"/>
        <v>2209556.25</v>
      </c>
      <c r="M23" s="5">
        <v>2.5</v>
      </c>
      <c r="N23" s="70">
        <f t="shared" si="0"/>
        <v>122753.125</v>
      </c>
      <c r="O23" s="43">
        <f t="shared" si="1"/>
        <v>289955.0807047525</v>
      </c>
      <c r="P23" s="43"/>
      <c r="Q23" s="1">
        <f t="shared" si="5"/>
        <v>86986.52421142574</v>
      </c>
      <c r="R23" s="1">
        <f t="shared" si="6"/>
        <v>-100338.9377509164</v>
      </c>
    </row>
    <row r="24" spans="1:18" ht="12.75">
      <c r="A24" s="3">
        <v>18</v>
      </c>
      <c r="B24" s="6">
        <f>iWoTab!C33</f>
        <v>518695.6942025287</v>
      </c>
      <c r="C24" s="68">
        <f>iWoVerm_mAusgl_fix!D34</f>
        <v>7447.673423963921</v>
      </c>
      <c r="D24" s="72">
        <v>28306.23297304405</v>
      </c>
      <c r="E24" s="72">
        <f>iWoDat!$D$17</f>
        <v>428926.4019105</v>
      </c>
      <c r="F24" s="1">
        <f>iWoTab!G33</f>
        <v>23314.01962955387</v>
      </c>
      <c r="G24" s="1">
        <f>iWoTab!H33</f>
        <v>27297.868082331668</v>
      </c>
      <c r="H24" s="1">
        <f>iWoTab!I33</f>
        <v>32000</v>
      </c>
      <c r="I24" s="1">
        <f>iWoTab!K33</f>
        <v>15560.87082607586</v>
      </c>
      <c r="J24" s="1">
        <f t="shared" si="2"/>
        <v>98172.75853796139</v>
      </c>
      <c r="K24" s="1">
        <f t="shared" si="3"/>
        <v>-8403.466245932737</v>
      </c>
      <c r="L24" s="68">
        <f t="shared" si="4"/>
        <v>2086803.125</v>
      </c>
      <c r="M24" s="5">
        <v>2.5</v>
      </c>
      <c r="N24" s="70">
        <f t="shared" si="0"/>
        <v>122753.125</v>
      </c>
      <c r="O24" s="43">
        <f t="shared" si="1"/>
        <v>318628.3702136474</v>
      </c>
      <c r="P24" s="43"/>
      <c r="Q24" s="1">
        <f t="shared" si="5"/>
        <v>95588.51106409421</v>
      </c>
      <c r="R24" s="1">
        <f t="shared" si="6"/>
        <v>-103991.97731002695</v>
      </c>
    </row>
    <row r="25" spans="1:18" ht="12.75">
      <c r="A25" s="3">
        <v>19</v>
      </c>
      <c r="B25" s="6">
        <f>iWoTab!C34</f>
        <v>518695.6942025287</v>
      </c>
      <c r="C25" s="68">
        <f>iWoVerm_mAusgl_fix!D35</f>
        <v>0</v>
      </c>
      <c r="D25" s="72">
        <v>42582.645189685245</v>
      </c>
      <c r="E25" s="72">
        <f>iWoDat!$D$17</f>
        <v>428926.4019105</v>
      </c>
      <c r="F25" s="1">
        <f>iWoTab!G34</f>
        <v>23780.300022144947</v>
      </c>
      <c r="G25" s="1">
        <f>iWoTab!H34</f>
        <v>30164.144230976493</v>
      </c>
      <c r="H25" s="1">
        <f>iWoTab!I34</f>
        <v>15000</v>
      </c>
      <c r="I25" s="1">
        <f>iWoTab!K34</f>
        <v>15560.87082607586</v>
      </c>
      <c r="J25" s="1">
        <f t="shared" si="2"/>
        <v>84505.3150791973</v>
      </c>
      <c r="K25" s="1">
        <f t="shared" si="3"/>
        <v>5263.977212831378</v>
      </c>
      <c r="L25" s="68">
        <f t="shared" si="4"/>
        <v>1964050</v>
      </c>
      <c r="M25" s="5">
        <v>1.25</v>
      </c>
      <c r="N25" s="70">
        <f t="shared" si="0"/>
        <v>61376.5625</v>
      </c>
      <c r="O25" s="43">
        <f t="shared" si="1"/>
        <v>415396.46181301674</v>
      </c>
      <c r="P25" s="43"/>
      <c r="Q25" s="1">
        <f t="shared" si="5"/>
        <v>124618.93854390501</v>
      </c>
      <c r="R25" s="1">
        <f t="shared" si="6"/>
        <v>-119354.96133107363</v>
      </c>
    </row>
    <row r="26" spans="1:18" ht="12.75">
      <c r="A26" s="3">
        <v>20</v>
      </c>
      <c r="B26" s="6">
        <f>iWoTab!C35</f>
        <v>518695.6942025287</v>
      </c>
      <c r="C26" s="68">
        <f>iWoVerm_mAusgl_fix!D36</f>
        <v>0</v>
      </c>
      <c r="D26" s="72">
        <v>64037.431283771</v>
      </c>
      <c r="E26" s="72">
        <f>iWoDat!$D$17</f>
        <v>428926.4019105</v>
      </c>
      <c r="F26" s="1">
        <f>iWoTab!G35</f>
        <v>24255.906022587846</v>
      </c>
      <c r="G26" s="1">
        <f>iWoTab!H35</f>
        <v>33331.37937522902</v>
      </c>
      <c r="H26" s="1">
        <f>iWoTab!I35</f>
        <v>0</v>
      </c>
      <c r="I26" s="1">
        <f>iWoTab!K35</f>
        <v>15560.87082607586</v>
      </c>
      <c r="J26" s="1">
        <f t="shared" si="2"/>
        <v>73148.15622389273</v>
      </c>
      <c r="K26" s="1">
        <f t="shared" si="3"/>
        <v>16621.136068135966</v>
      </c>
      <c r="L26" s="68">
        <f t="shared" si="4"/>
        <v>1902673.4375</v>
      </c>
      <c r="M26" s="5">
        <v>1.25</v>
      </c>
      <c r="N26" s="70">
        <f t="shared" si="0"/>
        <v>61376.5625</v>
      </c>
      <c r="O26" s="43">
        <f t="shared" si="1"/>
        <v>448208.406762407</v>
      </c>
      <c r="P26" s="43"/>
      <c r="Q26" s="1">
        <f t="shared" si="5"/>
        <v>134462.5220287221</v>
      </c>
      <c r="R26" s="1">
        <f t="shared" si="6"/>
        <v>-117841.38596058614</v>
      </c>
    </row>
    <row r="30" ht="12.75">
      <c r="A30" t="s">
        <v>191</v>
      </c>
    </row>
    <row r="32" spans="3:5" ht="12.75">
      <c r="C32" t="s">
        <v>195</v>
      </c>
      <c r="D32" s="1">
        <f>iWoTab!$B$35-L26</f>
        <v>4470091.048990264</v>
      </c>
      <c r="E32" s="1"/>
    </row>
    <row r="33" spans="3:5" ht="12.75">
      <c r="C33" t="s">
        <v>196</v>
      </c>
      <c r="D33" s="1">
        <f>D32*0.25</f>
        <v>1117522.762247566</v>
      </c>
      <c r="E33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32"/>
  <sheetViews>
    <sheetView zoomScale="120" zoomScaleNormal="120" workbookViewId="0" topLeftCell="A8">
      <selection activeCell="D12" sqref="D12"/>
    </sheetView>
  </sheetViews>
  <sheetFormatPr defaultColWidth="11.421875" defaultRowHeight="12.75"/>
  <cols>
    <col min="1" max="1" width="3.00390625" style="0" customWidth="1"/>
    <col min="2" max="2" width="13.00390625" style="0" customWidth="1"/>
    <col min="3" max="4" width="9.57421875" style="0" customWidth="1"/>
  </cols>
  <sheetData>
    <row r="2" ht="12.75">
      <c r="B2" s="9" t="s">
        <v>106</v>
      </c>
    </row>
    <row r="3" spans="2:3" ht="12.75">
      <c r="B3" t="s">
        <v>113</v>
      </c>
      <c r="C3" s="1">
        <f>iWoDat!$D$13</f>
        <v>5426812</v>
      </c>
    </row>
    <row r="4" spans="2:3" ht="15.75">
      <c r="B4" t="s">
        <v>145</v>
      </c>
      <c r="C4" s="10">
        <v>4.5</v>
      </c>
    </row>
    <row r="5" spans="2:3" ht="15.75">
      <c r="B5" t="s">
        <v>146</v>
      </c>
      <c r="C5" s="10">
        <v>6</v>
      </c>
    </row>
    <row r="6" spans="2:3" ht="12.75">
      <c r="B6" t="s">
        <v>147</v>
      </c>
      <c r="C6" s="35">
        <v>3.4038375</v>
      </c>
    </row>
    <row r="7" spans="2:3" ht="15.75">
      <c r="B7" t="s">
        <v>151</v>
      </c>
      <c r="C7" s="1">
        <f>C12+D12</f>
        <v>428926.4019105</v>
      </c>
    </row>
    <row r="8" spans="2:3" ht="15.75">
      <c r="B8" t="s">
        <v>152</v>
      </c>
      <c r="C8" s="1">
        <f>C7</f>
        <v>428926.4019105</v>
      </c>
    </row>
    <row r="9" ht="12.75">
      <c r="C9" s="13"/>
    </row>
    <row r="11" spans="1:4" ht="12.75">
      <c r="A11" s="28" t="s">
        <v>123</v>
      </c>
      <c r="B11" s="28" t="s">
        <v>150</v>
      </c>
      <c r="C11" s="28" t="s">
        <v>148</v>
      </c>
      <c r="D11" s="28" t="s">
        <v>149</v>
      </c>
    </row>
    <row r="12" spans="1:4" ht="12.75">
      <c r="A12" s="3">
        <v>1</v>
      </c>
      <c r="B12" s="1">
        <f>$C$3</f>
        <v>5426812</v>
      </c>
      <c r="C12" s="1">
        <f>$C$4*B12/100</f>
        <v>244206.54</v>
      </c>
      <c r="D12" s="1">
        <f>C6*B12/100</f>
        <v>184719.8619105</v>
      </c>
    </row>
    <row r="13" spans="1:4" ht="12.75">
      <c r="A13" s="3">
        <v>2</v>
      </c>
      <c r="B13" s="1">
        <f>B12-D12</f>
        <v>5242092.1380895</v>
      </c>
      <c r="C13" s="1">
        <f>$C$4*B13/100</f>
        <v>235894.1462140275</v>
      </c>
      <c r="D13" s="1">
        <f aca="true" t="shared" si="0" ref="D13:D21">$C$7-C13</f>
        <v>193032.2556964725</v>
      </c>
    </row>
    <row r="14" spans="1:4" ht="12.75">
      <c r="A14" s="3">
        <v>3</v>
      </c>
      <c r="B14" s="1">
        <f>B13-D13</f>
        <v>5049059.882393028</v>
      </c>
      <c r="C14" s="1">
        <f>$C$4*B14/100</f>
        <v>227207.69470768623</v>
      </c>
      <c r="D14" s="1">
        <f t="shared" si="0"/>
        <v>201718.7072028138</v>
      </c>
    </row>
    <row r="15" spans="1:4" ht="12.75">
      <c r="A15" s="3">
        <v>4</v>
      </c>
      <c r="B15" s="1">
        <f aca="true" t="shared" si="1" ref="B15:B31">B14-D14</f>
        <v>4847341.175190214</v>
      </c>
      <c r="C15" s="1">
        <f aca="true" t="shared" si="2" ref="C15:C21">$C$4*B15/100</f>
        <v>218130.35288355962</v>
      </c>
      <c r="D15" s="1">
        <f t="shared" si="0"/>
        <v>210796.0490269404</v>
      </c>
    </row>
    <row r="16" spans="1:4" ht="12.75">
      <c r="A16" s="3">
        <v>5</v>
      </c>
      <c r="B16" s="1">
        <f t="shared" si="1"/>
        <v>4636545.126163274</v>
      </c>
      <c r="C16" s="1">
        <f t="shared" si="2"/>
        <v>208644.53067734733</v>
      </c>
      <c r="D16" s="1">
        <f t="shared" si="0"/>
        <v>220281.8712331527</v>
      </c>
    </row>
    <row r="17" spans="1:4" ht="12.75">
      <c r="A17" s="3">
        <v>6</v>
      </c>
      <c r="B17" s="1">
        <f t="shared" si="1"/>
        <v>4416263.254930122</v>
      </c>
      <c r="C17" s="1">
        <f t="shared" si="2"/>
        <v>198731.8464718555</v>
      </c>
      <c r="D17" s="1">
        <f t="shared" si="0"/>
        <v>230194.55543864451</v>
      </c>
    </row>
    <row r="18" spans="1:4" ht="12.75">
      <c r="A18" s="3">
        <v>7</v>
      </c>
      <c r="B18" s="1">
        <f t="shared" si="1"/>
        <v>4186068.699491477</v>
      </c>
      <c r="C18" s="1">
        <f t="shared" si="2"/>
        <v>188373.09147711645</v>
      </c>
      <c r="D18" s="1">
        <f t="shared" si="0"/>
        <v>240553.31043338357</v>
      </c>
    </row>
    <row r="19" spans="1:4" ht="12.75">
      <c r="A19" s="3">
        <v>8</v>
      </c>
      <c r="B19" s="1">
        <f t="shared" si="1"/>
        <v>3945515.3890580935</v>
      </c>
      <c r="C19" s="1">
        <f t="shared" si="2"/>
        <v>177548.1925076142</v>
      </c>
      <c r="D19" s="1">
        <f t="shared" si="0"/>
        <v>251378.2094028858</v>
      </c>
    </row>
    <row r="20" spans="1:4" ht="12.75">
      <c r="A20" s="3">
        <v>9</v>
      </c>
      <c r="B20" s="1">
        <f t="shared" si="1"/>
        <v>3694137.179655208</v>
      </c>
      <c r="C20" s="1">
        <f t="shared" si="2"/>
        <v>166236.17308448436</v>
      </c>
      <c r="D20" s="1">
        <f t="shared" si="0"/>
        <v>262690.22882601566</v>
      </c>
    </row>
    <row r="21" spans="1:4" ht="12.75">
      <c r="A21" s="33">
        <v>10</v>
      </c>
      <c r="B21" s="34">
        <f t="shared" si="1"/>
        <v>3431446.950829192</v>
      </c>
      <c r="C21" s="34">
        <f t="shared" si="2"/>
        <v>154415.11278731364</v>
      </c>
      <c r="D21" s="34">
        <f t="shared" si="0"/>
        <v>274511.2891231864</v>
      </c>
    </row>
    <row r="22" spans="1:4" ht="12.75">
      <c r="A22" s="3">
        <v>11</v>
      </c>
      <c r="B22" s="1">
        <f t="shared" si="1"/>
        <v>3156935.6617060057</v>
      </c>
      <c r="C22" s="1">
        <f>$C$5*B22/100</f>
        <v>189416.13970236032</v>
      </c>
      <c r="D22" s="1">
        <f>$C$8-C22</f>
        <v>239510.2622081397</v>
      </c>
    </row>
    <row r="23" spans="1:4" ht="12.75">
      <c r="A23" s="3">
        <v>12</v>
      </c>
      <c r="B23" s="1">
        <f t="shared" si="1"/>
        <v>2917425.399497866</v>
      </c>
      <c r="C23" s="1">
        <f aca="true" t="shared" si="3" ref="C23:C31">$C$5*B23/100</f>
        <v>175045.52396987195</v>
      </c>
      <c r="D23" s="1">
        <f aca="true" t="shared" si="4" ref="D23:D31">$C$8-C23</f>
        <v>253880.87794062807</v>
      </c>
    </row>
    <row r="24" spans="1:4" ht="12.75">
      <c r="A24" s="3">
        <v>13</v>
      </c>
      <c r="B24" s="1">
        <f t="shared" si="1"/>
        <v>2663544.521557238</v>
      </c>
      <c r="C24" s="1">
        <f t="shared" si="3"/>
        <v>159812.67129343428</v>
      </c>
      <c r="D24" s="1">
        <f t="shared" si="4"/>
        <v>269113.73061706574</v>
      </c>
    </row>
    <row r="25" spans="1:4" ht="12.75">
      <c r="A25" s="3">
        <v>14</v>
      </c>
      <c r="B25" s="1">
        <f t="shared" si="1"/>
        <v>2394430.790940172</v>
      </c>
      <c r="C25" s="1">
        <f t="shared" si="3"/>
        <v>143665.84745641032</v>
      </c>
      <c r="D25" s="1">
        <f t="shared" si="4"/>
        <v>285260.5544540897</v>
      </c>
    </row>
    <row r="26" spans="1:4" ht="12.75">
      <c r="A26" s="3">
        <v>15</v>
      </c>
      <c r="B26" s="1">
        <f t="shared" si="1"/>
        <v>2109170.2364860824</v>
      </c>
      <c r="C26" s="1">
        <f t="shared" si="3"/>
        <v>126550.21418916494</v>
      </c>
      <c r="D26" s="1">
        <f t="shared" si="4"/>
        <v>302376.1877213351</v>
      </c>
    </row>
    <row r="27" spans="1:4" ht="12.75">
      <c r="A27" s="3">
        <v>16</v>
      </c>
      <c r="B27" s="1">
        <f t="shared" si="1"/>
        <v>1806794.0487647473</v>
      </c>
      <c r="C27" s="1">
        <f t="shared" si="3"/>
        <v>108407.64292588484</v>
      </c>
      <c r="D27" s="1">
        <f t="shared" si="4"/>
        <v>320518.7589846152</v>
      </c>
    </row>
    <row r="28" spans="1:4" ht="12.75">
      <c r="A28" s="3">
        <v>17</v>
      </c>
      <c r="B28" s="1">
        <f t="shared" si="1"/>
        <v>1486275.289780132</v>
      </c>
      <c r="C28" s="1">
        <f t="shared" si="3"/>
        <v>89176.51738680791</v>
      </c>
      <c r="D28" s="1">
        <f t="shared" si="4"/>
        <v>339749.8845236921</v>
      </c>
    </row>
    <row r="29" spans="1:4" ht="12.75">
      <c r="A29" s="3">
        <v>18</v>
      </c>
      <c r="B29" s="1">
        <f t="shared" si="1"/>
        <v>1146525.40525644</v>
      </c>
      <c r="C29" s="1">
        <f t="shared" si="3"/>
        <v>68791.5243153864</v>
      </c>
      <c r="D29" s="1">
        <f t="shared" si="4"/>
        <v>360134.8775951136</v>
      </c>
    </row>
    <row r="30" spans="1:4" ht="12.75">
      <c r="A30" s="3">
        <v>19</v>
      </c>
      <c r="B30" s="1">
        <f t="shared" si="1"/>
        <v>786390.5276613263</v>
      </c>
      <c r="C30" s="1">
        <f t="shared" si="3"/>
        <v>47183.43165967958</v>
      </c>
      <c r="D30" s="1">
        <f t="shared" si="4"/>
        <v>381742.97025082045</v>
      </c>
    </row>
    <row r="31" spans="1:4" ht="12.75">
      <c r="A31" s="3">
        <v>20</v>
      </c>
      <c r="B31" s="1">
        <f t="shared" si="1"/>
        <v>404647.5574105059</v>
      </c>
      <c r="C31" s="1">
        <f t="shared" si="3"/>
        <v>24278.853444630353</v>
      </c>
      <c r="D31" s="1">
        <f t="shared" si="4"/>
        <v>404647.5484658697</v>
      </c>
    </row>
    <row r="32" spans="2:4" ht="12.75">
      <c r="B32" s="1"/>
      <c r="C32" s="1"/>
      <c r="D3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34"/>
  <sheetViews>
    <sheetView zoomScale="120" zoomScaleNormal="120" workbookViewId="0" topLeftCell="A1">
      <selection activeCell="A34" sqref="A34"/>
    </sheetView>
  </sheetViews>
  <sheetFormatPr defaultColWidth="11.421875" defaultRowHeight="12.75"/>
  <cols>
    <col min="1" max="1" width="3.00390625" style="0" customWidth="1"/>
    <col min="2" max="2" width="13.00390625" style="0" customWidth="1"/>
    <col min="3" max="4" width="9.57421875" style="0" customWidth="1"/>
  </cols>
  <sheetData>
    <row r="2" ht="12.75">
      <c r="B2" s="9" t="s">
        <v>106</v>
      </c>
    </row>
    <row r="3" spans="2:3" ht="12.75">
      <c r="B3" t="s">
        <v>113</v>
      </c>
      <c r="C3" s="1">
        <v>5000000</v>
      </c>
    </row>
    <row r="4" spans="2:3" ht="15.75">
      <c r="B4" t="s">
        <v>145</v>
      </c>
      <c r="C4" s="10">
        <v>5</v>
      </c>
    </row>
    <row r="5" spans="2:3" ht="15.75">
      <c r="B5" t="s">
        <v>146</v>
      </c>
      <c r="C5" s="10">
        <v>7</v>
      </c>
    </row>
    <row r="6" spans="2:3" ht="12.75">
      <c r="B6" t="s">
        <v>147</v>
      </c>
      <c r="C6" s="35">
        <v>2.5</v>
      </c>
    </row>
    <row r="7" spans="2:3" ht="15.75">
      <c r="B7" t="s">
        <v>151</v>
      </c>
      <c r="C7" s="1">
        <f>C12+D12</f>
        <v>375000</v>
      </c>
    </row>
    <row r="8" spans="2:3" ht="15.75">
      <c r="B8" t="s">
        <v>152</v>
      </c>
      <c r="C8" s="1">
        <f>C22+D22</f>
        <v>433859.4673112622</v>
      </c>
    </row>
    <row r="9" ht="12.75">
      <c r="C9" s="13"/>
    </row>
    <row r="11" spans="1:4" ht="12.75">
      <c r="A11" s="28" t="s">
        <v>123</v>
      </c>
      <c r="B11" s="28" t="s">
        <v>150</v>
      </c>
      <c r="C11" s="28" t="s">
        <v>148</v>
      </c>
      <c r="D11" s="28" t="s">
        <v>149</v>
      </c>
    </row>
    <row r="12" spans="1:4" ht="12.75">
      <c r="A12" s="3">
        <v>1</v>
      </c>
      <c r="B12" s="1">
        <f>$C$3</f>
        <v>5000000</v>
      </c>
      <c r="C12" s="1">
        <f aca="true" t="shared" si="0" ref="C12:C21">$C$4*B12/100</f>
        <v>250000</v>
      </c>
      <c r="D12" s="1">
        <f>C6*B12/100</f>
        <v>125000</v>
      </c>
    </row>
    <row r="13" spans="1:4" ht="12.75">
      <c r="A13" s="3">
        <v>2</v>
      </c>
      <c r="B13" s="1">
        <f aca="true" t="shared" si="1" ref="B13:B31">B12-D12</f>
        <v>4875000</v>
      </c>
      <c r="C13" s="1">
        <f t="shared" si="0"/>
        <v>243750</v>
      </c>
      <c r="D13" s="1">
        <f aca="true" t="shared" si="2" ref="D13:D21">$C$7-C13</f>
        <v>131250</v>
      </c>
    </row>
    <row r="14" spans="1:4" ht="12.75">
      <c r="A14" s="3">
        <v>3</v>
      </c>
      <c r="B14" s="1">
        <f t="shared" si="1"/>
        <v>4743750</v>
      </c>
      <c r="C14" s="1">
        <f t="shared" si="0"/>
        <v>237187.5</v>
      </c>
      <c r="D14" s="1">
        <f t="shared" si="2"/>
        <v>137812.5</v>
      </c>
    </row>
    <row r="15" spans="1:4" ht="12.75">
      <c r="A15" s="3">
        <v>4</v>
      </c>
      <c r="B15" s="1">
        <f t="shared" si="1"/>
        <v>4605937.5</v>
      </c>
      <c r="C15" s="1">
        <f t="shared" si="0"/>
        <v>230296.875</v>
      </c>
      <c r="D15" s="1">
        <f t="shared" si="2"/>
        <v>144703.125</v>
      </c>
    </row>
    <row r="16" spans="1:4" ht="12.75">
      <c r="A16" s="3">
        <v>5</v>
      </c>
      <c r="B16" s="1">
        <f t="shared" si="1"/>
        <v>4461234.375</v>
      </c>
      <c r="C16" s="1">
        <f t="shared" si="0"/>
        <v>223061.71875</v>
      </c>
      <c r="D16" s="1">
        <f t="shared" si="2"/>
        <v>151938.28125</v>
      </c>
    </row>
    <row r="17" spans="1:4" ht="12.75">
      <c r="A17" s="3">
        <v>6</v>
      </c>
      <c r="B17" s="1">
        <f t="shared" si="1"/>
        <v>4309296.09375</v>
      </c>
      <c r="C17" s="1">
        <f t="shared" si="0"/>
        <v>215464.8046875</v>
      </c>
      <c r="D17" s="1">
        <f t="shared" si="2"/>
        <v>159535.1953125</v>
      </c>
    </row>
    <row r="18" spans="1:4" ht="12.75">
      <c r="A18" s="3">
        <v>7</v>
      </c>
      <c r="B18" s="1">
        <f t="shared" si="1"/>
        <v>4149760.8984375</v>
      </c>
      <c r="C18" s="1">
        <f t="shared" si="0"/>
        <v>207488.044921875</v>
      </c>
      <c r="D18" s="1">
        <f t="shared" si="2"/>
        <v>167511.955078125</v>
      </c>
    </row>
    <row r="19" spans="1:4" ht="12.75">
      <c r="A19" s="3">
        <v>8</v>
      </c>
      <c r="B19" s="1">
        <f t="shared" si="1"/>
        <v>3982248.943359375</v>
      </c>
      <c r="C19" s="1">
        <f t="shared" si="0"/>
        <v>199112.44716796876</v>
      </c>
      <c r="D19" s="1">
        <f t="shared" si="2"/>
        <v>175887.55283203124</v>
      </c>
    </row>
    <row r="20" spans="1:4" ht="12.75">
      <c r="A20" s="3">
        <v>9</v>
      </c>
      <c r="B20" s="1">
        <f t="shared" si="1"/>
        <v>3806361.390527344</v>
      </c>
      <c r="C20" s="1">
        <f t="shared" si="0"/>
        <v>190318.06952636718</v>
      </c>
      <c r="D20" s="1">
        <f t="shared" si="2"/>
        <v>184681.93047363282</v>
      </c>
    </row>
    <row r="21" spans="1:4" ht="12.75">
      <c r="A21" s="33">
        <v>10</v>
      </c>
      <c r="B21" s="34">
        <f t="shared" si="1"/>
        <v>3621679.460053711</v>
      </c>
      <c r="C21" s="34">
        <f t="shared" si="0"/>
        <v>181083.97300268558</v>
      </c>
      <c r="D21" s="34">
        <f t="shared" si="2"/>
        <v>193916.02699731442</v>
      </c>
    </row>
    <row r="22" spans="1:4" ht="12.75">
      <c r="A22" s="3">
        <v>11</v>
      </c>
      <c r="B22" s="1">
        <f t="shared" si="1"/>
        <v>3427763.433056397</v>
      </c>
      <c r="C22" s="1">
        <f aca="true" t="shared" si="3" ref="C22:C34">$C$5*B22/100</f>
        <v>239943.4403139478</v>
      </c>
      <c r="D22" s="1">
        <f>D21</f>
        <v>193916.02699731442</v>
      </c>
    </row>
    <row r="23" spans="1:4" ht="12.75">
      <c r="A23" s="3">
        <v>12</v>
      </c>
      <c r="B23" s="1">
        <f t="shared" si="1"/>
        <v>3233847.4060590826</v>
      </c>
      <c r="C23" s="1">
        <f t="shared" si="3"/>
        <v>226369.3184241358</v>
      </c>
      <c r="D23" s="1">
        <f aca="true" t="shared" si="4" ref="D23:D32">$C$8-C23</f>
        <v>207490.14888712642</v>
      </c>
    </row>
    <row r="24" spans="1:4" ht="12.75">
      <c r="A24" s="3">
        <v>13</v>
      </c>
      <c r="B24" s="1">
        <f t="shared" si="1"/>
        <v>3026357.2571719564</v>
      </c>
      <c r="C24" s="1">
        <f t="shared" si="3"/>
        <v>211845.00800203695</v>
      </c>
      <c r="D24" s="1">
        <f t="shared" si="4"/>
        <v>222014.45930922526</v>
      </c>
    </row>
    <row r="25" spans="1:4" ht="12.75">
      <c r="A25" s="3">
        <v>14</v>
      </c>
      <c r="B25" s="1">
        <f t="shared" si="1"/>
        <v>2804342.797862731</v>
      </c>
      <c r="C25" s="1">
        <f t="shared" si="3"/>
        <v>196303.99585039116</v>
      </c>
      <c r="D25" s="1">
        <f t="shared" si="4"/>
        <v>237555.47146087105</v>
      </c>
    </row>
    <row r="26" spans="1:4" ht="12.75">
      <c r="A26" s="3">
        <v>15</v>
      </c>
      <c r="B26" s="1">
        <f t="shared" si="1"/>
        <v>2566787.32640186</v>
      </c>
      <c r="C26" s="1">
        <f t="shared" si="3"/>
        <v>179675.1128481302</v>
      </c>
      <c r="D26" s="1">
        <f t="shared" si="4"/>
        <v>254184.354463132</v>
      </c>
    </row>
    <row r="27" spans="1:4" ht="12.75">
      <c r="A27" s="3">
        <v>16</v>
      </c>
      <c r="B27" s="1">
        <f t="shared" si="1"/>
        <v>2312602.971938728</v>
      </c>
      <c r="C27" s="1">
        <f t="shared" si="3"/>
        <v>161882.20803571097</v>
      </c>
      <c r="D27" s="1">
        <f t="shared" si="4"/>
        <v>271977.25927555125</v>
      </c>
    </row>
    <row r="28" spans="1:4" ht="12.75">
      <c r="A28" s="3">
        <v>17</v>
      </c>
      <c r="B28" s="1">
        <f t="shared" si="1"/>
        <v>2040625.7126631767</v>
      </c>
      <c r="C28" s="1">
        <f t="shared" si="3"/>
        <v>142843.79988642235</v>
      </c>
      <c r="D28" s="1">
        <f t="shared" si="4"/>
        <v>291015.66742483986</v>
      </c>
    </row>
    <row r="29" spans="1:4" ht="12.75">
      <c r="A29" s="3">
        <v>18</v>
      </c>
      <c r="B29" s="1">
        <f t="shared" si="1"/>
        <v>1749610.0452383368</v>
      </c>
      <c r="C29" s="1">
        <f t="shared" si="3"/>
        <v>122472.70316668358</v>
      </c>
      <c r="D29" s="1">
        <f t="shared" si="4"/>
        <v>311386.7641445786</v>
      </c>
    </row>
    <row r="30" spans="1:4" ht="12.75">
      <c r="A30" s="3">
        <v>19</v>
      </c>
      <c r="B30" s="1">
        <f t="shared" si="1"/>
        <v>1438223.281093758</v>
      </c>
      <c r="C30" s="1">
        <f t="shared" si="3"/>
        <v>100675.62967656307</v>
      </c>
      <c r="D30" s="1">
        <f t="shared" si="4"/>
        <v>333183.8376346991</v>
      </c>
    </row>
    <row r="31" spans="1:4" ht="12.75">
      <c r="A31" s="3">
        <v>20</v>
      </c>
      <c r="B31" s="1">
        <f t="shared" si="1"/>
        <v>1105039.4434590589</v>
      </c>
      <c r="C31" s="1">
        <f t="shared" si="3"/>
        <v>77352.76104213412</v>
      </c>
      <c r="D31" s="1">
        <f t="shared" si="4"/>
        <v>356506.7062691281</v>
      </c>
    </row>
    <row r="32" spans="1:4" ht="12.75">
      <c r="A32" s="3">
        <v>21</v>
      </c>
      <c r="B32" s="1">
        <f>B31-D31</f>
        <v>748532.7371899309</v>
      </c>
      <c r="C32" s="1">
        <f t="shared" si="3"/>
        <v>52397.29160329516</v>
      </c>
      <c r="D32" s="1">
        <f t="shared" si="4"/>
        <v>381462.175707967</v>
      </c>
    </row>
    <row r="33" spans="1:4" ht="12.75">
      <c r="A33" s="3">
        <v>22</v>
      </c>
      <c r="B33" s="1">
        <f>B32-D32</f>
        <v>367070.56148196384</v>
      </c>
      <c r="C33" s="1">
        <f t="shared" si="3"/>
        <v>25694.93930373747</v>
      </c>
      <c r="D33" s="1">
        <f>B33</f>
        <v>367070.56148196384</v>
      </c>
    </row>
    <row r="34" spans="1:4" ht="12.75">
      <c r="A34" s="3">
        <v>23</v>
      </c>
      <c r="B34" s="1">
        <f>B33-D33</f>
        <v>0</v>
      </c>
      <c r="C34" s="1">
        <f t="shared" si="3"/>
        <v>0</v>
      </c>
      <c r="D34" s="1">
        <f>B34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31"/>
  <sheetViews>
    <sheetView zoomScale="135" zoomScaleNormal="135" workbookViewId="0" topLeftCell="E8">
      <selection activeCell="K31" sqref="K31"/>
    </sheetView>
  </sheetViews>
  <sheetFormatPr defaultColWidth="11.421875" defaultRowHeight="12.75"/>
  <cols>
    <col min="1" max="1" width="4.7109375" style="0" customWidth="1"/>
    <col min="2" max="3" width="3.57421875" style="0" customWidth="1"/>
    <col min="4" max="4" width="11.00390625" style="0" customWidth="1"/>
    <col min="5" max="5" width="15.140625" style="0" customWidth="1"/>
    <col min="6" max="6" width="10.00390625" style="0" customWidth="1"/>
    <col min="7" max="7" width="9.57421875" style="0" customWidth="1"/>
    <col min="8" max="8" width="12.7109375" style="0" customWidth="1"/>
    <col min="9" max="9" width="12.57421875" style="0" customWidth="1"/>
    <col min="10" max="10" width="9.28125" style="0" customWidth="1"/>
    <col min="11" max="11" width="12.00390625" style="0" bestFit="1" customWidth="1"/>
    <col min="12" max="12" width="14.00390625" style="0" bestFit="1" customWidth="1"/>
    <col min="14" max="14" width="17.57421875" style="0" bestFit="1" customWidth="1"/>
    <col min="15" max="15" width="20.28125" style="0" bestFit="1" customWidth="1"/>
  </cols>
  <sheetData>
    <row r="2" spans="1:3" ht="12.75">
      <c r="A2" s="9" t="s">
        <v>13</v>
      </c>
      <c r="B2" s="9"/>
      <c r="C2" s="9"/>
    </row>
    <row r="3" spans="1:5" ht="12.75">
      <c r="A3" s="29" t="s">
        <v>183</v>
      </c>
      <c r="B3" s="9"/>
      <c r="C3" s="9"/>
      <c r="E3" s="1">
        <f>iWoDat!$D$9</f>
        <v>7235750</v>
      </c>
    </row>
    <row r="4" spans="1:5" ht="12.75">
      <c r="A4" s="29" t="s">
        <v>172</v>
      </c>
      <c r="B4" s="9"/>
      <c r="C4" s="9"/>
      <c r="E4" s="1">
        <f>E3-E5</f>
        <v>6512175</v>
      </c>
    </row>
    <row r="5" spans="1:9" ht="12.75">
      <c r="A5" t="s">
        <v>171</v>
      </c>
      <c r="E5" s="1">
        <f>E3*0.1</f>
        <v>723575</v>
      </c>
      <c r="F5" s="1"/>
      <c r="G5" s="1"/>
      <c r="H5" s="1"/>
      <c r="I5" s="1"/>
    </row>
    <row r="6" ht="12.75">
      <c r="A6" t="s">
        <v>18</v>
      </c>
    </row>
    <row r="7" spans="1:5" ht="12.75">
      <c r="A7" t="s">
        <v>19</v>
      </c>
      <c r="E7" s="21">
        <v>20</v>
      </c>
    </row>
    <row r="10" spans="1:12" ht="15.75">
      <c r="A10" s="3" t="s">
        <v>0</v>
      </c>
      <c r="B10" s="3" t="s">
        <v>168</v>
      </c>
      <c r="C10" s="3" t="s">
        <v>169</v>
      </c>
      <c r="D10" s="3" t="s">
        <v>7</v>
      </c>
      <c r="E10" s="3" t="s">
        <v>25</v>
      </c>
      <c r="F10" s="3" t="s">
        <v>26</v>
      </c>
      <c r="G10" s="3" t="s">
        <v>27</v>
      </c>
      <c r="H10" s="3" t="s">
        <v>31</v>
      </c>
      <c r="I10" s="3" t="s">
        <v>28</v>
      </c>
      <c r="J10" s="3" t="s">
        <v>29</v>
      </c>
      <c r="K10" s="3" t="s">
        <v>30</v>
      </c>
      <c r="L10" t="s">
        <v>32</v>
      </c>
    </row>
    <row r="11" spans="1:12" ht="12.75">
      <c r="A11" s="45">
        <v>0</v>
      </c>
      <c r="B11" s="53">
        <v>3</v>
      </c>
      <c r="C11" s="53">
        <f>B11-0.5</f>
        <v>2.5</v>
      </c>
      <c r="D11" s="20">
        <f>E5*(-1)</f>
        <v>-723575</v>
      </c>
      <c r="E11" s="20">
        <f>E4</f>
        <v>6512175</v>
      </c>
      <c r="F11" s="20"/>
      <c r="G11" s="17"/>
      <c r="H11" s="20">
        <f>E11</f>
        <v>6512175</v>
      </c>
      <c r="I11" s="20"/>
      <c r="J11" s="20"/>
      <c r="K11" s="20"/>
      <c r="L11" s="23"/>
    </row>
    <row r="12" spans="1:12" ht="12.75">
      <c r="A12" s="45">
        <v>1</v>
      </c>
      <c r="B12" s="53">
        <v>3.4</v>
      </c>
      <c r="C12" s="53">
        <f aca="true" t="shared" si="0" ref="C12:C31">B12-0.5</f>
        <v>2.9</v>
      </c>
      <c r="D12" s="20">
        <f>iWoTab!P16</f>
        <v>375790</v>
      </c>
      <c r="E12" s="20"/>
      <c r="F12" s="20">
        <f aca="true" t="shared" si="1" ref="F12:F29">D12-G12</f>
        <v>154376.05</v>
      </c>
      <c r="G12" s="17">
        <f>B12*H11/100</f>
        <v>221413.95</v>
      </c>
      <c r="H12" s="17">
        <f aca="true" t="shared" si="2" ref="H12:H29">H11-F12</f>
        <v>6357798.95</v>
      </c>
      <c r="I12" s="20"/>
      <c r="J12" s="20"/>
      <c r="K12" s="20"/>
      <c r="L12" s="23"/>
    </row>
    <row r="13" spans="1:12" ht="12.75">
      <c r="A13" s="45">
        <v>2</v>
      </c>
      <c r="B13" s="53">
        <v>3.8</v>
      </c>
      <c r="C13" s="53">
        <f t="shared" si="0"/>
        <v>3.3</v>
      </c>
      <c r="D13" s="20">
        <f>iWoTab!P17</f>
        <v>413554.336</v>
      </c>
      <c r="E13" s="20"/>
      <c r="F13" s="20">
        <f t="shared" si="1"/>
        <v>171957.97590000002</v>
      </c>
      <c r="G13" s="17">
        <f aca="true" t="shared" si="3" ref="G13:G29">B13*H12/100</f>
        <v>241596.3601</v>
      </c>
      <c r="H13" s="17">
        <f t="shared" si="2"/>
        <v>6185840.9741</v>
      </c>
      <c r="I13" s="20"/>
      <c r="J13" s="20"/>
      <c r="K13" s="20"/>
      <c r="L13" s="23"/>
    </row>
    <row r="14" spans="1:12" ht="12.75">
      <c r="A14" s="45">
        <v>3</v>
      </c>
      <c r="B14" s="53">
        <v>4.2</v>
      </c>
      <c r="C14" s="53">
        <f t="shared" si="0"/>
        <v>3.7</v>
      </c>
      <c r="D14" s="20">
        <f>iWoTab!P18</f>
        <v>420483.673048</v>
      </c>
      <c r="E14" s="20"/>
      <c r="F14" s="20">
        <f t="shared" si="1"/>
        <v>160678.3521358</v>
      </c>
      <c r="G14" s="17">
        <f t="shared" si="3"/>
        <v>259805.32091220003</v>
      </c>
      <c r="H14" s="17">
        <f t="shared" si="2"/>
        <v>6025162.6219642</v>
      </c>
      <c r="I14" s="20"/>
      <c r="J14" s="20"/>
      <c r="K14" s="20"/>
      <c r="L14" s="23"/>
    </row>
    <row r="15" spans="1:12" ht="12.75">
      <c r="A15" s="45">
        <v>4</v>
      </c>
      <c r="B15" s="53">
        <v>4.6</v>
      </c>
      <c r="C15" s="53">
        <f t="shared" si="0"/>
        <v>4.1</v>
      </c>
      <c r="D15" s="20">
        <f>iWoTab!P19</f>
        <v>427486.58796786395</v>
      </c>
      <c r="E15" s="20"/>
      <c r="F15" s="20">
        <f t="shared" si="1"/>
        <v>150329.10735751077</v>
      </c>
      <c r="G15" s="17">
        <f t="shared" si="3"/>
        <v>277157.4806103532</v>
      </c>
      <c r="H15" s="17">
        <f t="shared" si="2"/>
        <v>5874833.51460669</v>
      </c>
      <c r="I15" s="20"/>
      <c r="J15" s="20"/>
      <c r="K15" s="20"/>
      <c r="L15" s="23"/>
    </row>
    <row r="16" spans="1:12" ht="12.75">
      <c r="A16" s="45">
        <v>5</v>
      </c>
      <c r="B16" s="53">
        <v>5</v>
      </c>
      <c r="C16" s="53">
        <f t="shared" si="0"/>
        <v>4.5</v>
      </c>
      <c r="D16" s="20">
        <f>iWoTab!P20</f>
        <v>434559.09213301056</v>
      </c>
      <c r="E16" s="20"/>
      <c r="F16" s="20">
        <f t="shared" si="1"/>
        <v>140817.41640267603</v>
      </c>
      <c r="G16" s="17">
        <f t="shared" si="3"/>
        <v>293741.67573033454</v>
      </c>
      <c r="H16" s="17">
        <f t="shared" si="2"/>
        <v>5734016.098204014</v>
      </c>
      <c r="I16" s="20"/>
      <c r="J16" s="20"/>
      <c r="K16" s="20"/>
      <c r="L16" s="23"/>
    </row>
    <row r="17" spans="1:12" ht="12.75">
      <c r="A17" s="45">
        <v>6</v>
      </c>
      <c r="B17" s="53">
        <v>4.6</v>
      </c>
      <c r="C17" s="53">
        <f t="shared" si="0"/>
        <v>4.1</v>
      </c>
      <c r="D17" s="20">
        <f>iWoTab!P21</f>
        <v>422936.35182135407</v>
      </c>
      <c r="E17" s="20"/>
      <c r="F17" s="20">
        <f t="shared" si="1"/>
        <v>159171.61130396946</v>
      </c>
      <c r="G17" s="17">
        <f t="shared" si="3"/>
        <v>263764.7405173846</v>
      </c>
      <c r="H17" s="17">
        <f t="shared" si="2"/>
        <v>5574844.486900045</v>
      </c>
      <c r="I17" s="20"/>
      <c r="J17" s="20"/>
      <c r="K17" s="20"/>
      <c r="L17" s="23"/>
    </row>
    <row r="18" spans="1:12" ht="12.75">
      <c r="A18" s="45">
        <v>7</v>
      </c>
      <c r="B18" s="53">
        <v>4.2</v>
      </c>
      <c r="C18" s="53">
        <f t="shared" si="0"/>
        <v>3.7</v>
      </c>
      <c r="D18" s="20">
        <f>iWoTab!P22</f>
        <v>443290.46173406165</v>
      </c>
      <c r="E18" s="20"/>
      <c r="F18" s="20">
        <f t="shared" si="1"/>
        <v>209146.99328425978</v>
      </c>
      <c r="G18" s="17">
        <f t="shared" si="3"/>
        <v>234143.46844980188</v>
      </c>
      <c r="H18" s="17">
        <f t="shared" si="2"/>
        <v>5365697.493615785</v>
      </c>
      <c r="I18" s="20"/>
      <c r="J18" s="20"/>
      <c r="K18" s="20"/>
      <c r="L18" s="23"/>
    </row>
    <row r="19" spans="1:12" ht="12.75">
      <c r="A19" s="45">
        <v>8</v>
      </c>
      <c r="B19" s="53">
        <v>3.8</v>
      </c>
      <c r="C19" s="53">
        <f t="shared" si="0"/>
        <v>3.3</v>
      </c>
      <c r="D19" s="20">
        <f>iWoTab!P23</f>
        <v>432113.44310611504</v>
      </c>
      <c r="E19" s="20"/>
      <c r="F19" s="20">
        <f t="shared" si="1"/>
        <v>228216.93834871522</v>
      </c>
      <c r="G19" s="17">
        <f t="shared" si="3"/>
        <v>203896.50475739982</v>
      </c>
      <c r="H19" s="17">
        <f t="shared" si="2"/>
        <v>5137480.5552670695</v>
      </c>
      <c r="I19" s="20"/>
      <c r="J19" s="20"/>
      <c r="K19" s="20"/>
      <c r="L19" s="23"/>
    </row>
    <row r="20" spans="1:12" ht="12.75">
      <c r="A20" s="45">
        <v>9</v>
      </c>
      <c r="B20" s="53">
        <v>3.4</v>
      </c>
      <c r="C20" s="53">
        <f t="shared" si="0"/>
        <v>2.9</v>
      </c>
      <c r="D20" s="20">
        <f>iWoTab!P24</f>
        <v>451896.41772782453</v>
      </c>
      <c r="E20" s="20"/>
      <c r="F20" s="20">
        <f t="shared" si="1"/>
        <v>277222.07884874416</v>
      </c>
      <c r="G20" s="17">
        <f t="shared" si="3"/>
        <v>174674.33887908034</v>
      </c>
      <c r="H20" s="17">
        <f t="shared" si="2"/>
        <v>4860258.476418326</v>
      </c>
      <c r="I20" s="20"/>
      <c r="J20" s="20"/>
      <c r="K20" s="20"/>
      <c r="L20" s="23"/>
    </row>
    <row r="21" spans="1:12" ht="12.75">
      <c r="A21" s="50">
        <v>10</v>
      </c>
      <c r="B21" s="53">
        <v>3</v>
      </c>
      <c r="C21" s="53">
        <f t="shared" si="0"/>
        <v>2.5</v>
      </c>
      <c r="D21" s="51">
        <f>iWoTab!P25</f>
        <v>411129.51286108955</v>
      </c>
      <c r="E21" s="51"/>
      <c r="F21" s="20">
        <f t="shared" si="1"/>
        <v>265321.75856853975</v>
      </c>
      <c r="G21" s="17">
        <f t="shared" si="3"/>
        <v>145807.75429254977</v>
      </c>
      <c r="H21" s="17">
        <f t="shared" si="2"/>
        <v>4594936.717849785</v>
      </c>
      <c r="I21" s="51"/>
      <c r="J21" s="51"/>
      <c r="K21" s="51"/>
      <c r="L21" s="52"/>
    </row>
    <row r="22" spans="1:12" ht="12.75">
      <c r="A22" s="45">
        <v>11</v>
      </c>
      <c r="B22" s="53">
        <v>3.4</v>
      </c>
      <c r="C22" s="53">
        <f t="shared" si="0"/>
        <v>2.9</v>
      </c>
      <c r="D22" s="13">
        <f>iWoTab!P26</f>
        <v>452371.90388850024</v>
      </c>
      <c r="E22" s="12"/>
      <c r="F22" s="20">
        <f t="shared" si="1"/>
        <v>296144.05548160756</v>
      </c>
      <c r="G22" s="17">
        <f t="shared" si="3"/>
        <v>156227.8484068927</v>
      </c>
      <c r="H22" s="17">
        <f t="shared" si="2"/>
        <v>4298792.662368178</v>
      </c>
      <c r="I22" s="2"/>
      <c r="J22" s="1"/>
      <c r="K22" s="1"/>
      <c r="L22" s="1"/>
    </row>
    <row r="23" spans="1:12" ht="12.75">
      <c r="A23" s="45">
        <v>12</v>
      </c>
      <c r="B23" s="53">
        <v>3.8</v>
      </c>
      <c r="C23" s="53">
        <f t="shared" si="0"/>
        <v>3.3</v>
      </c>
      <c r="D23" s="13">
        <f>iWoTab!P27</f>
        <v>458488.51769345935</v>
      </c>
      <c r="E23" s="12"/>
      <c r="F23" s="20">
        <f t="shared" si="1"/>
        <v>295134.39652346855</v>
      </c>
      <c r="G23" s="17">
        <f t="shared" si="3"/>
        <v>163354.12116999077</v>
      </c>
      <c r="H23" s="17">
        <f t="shared" si="2"/>
        <v>4003658.2658447097</v>
      </c>
      <c r="I23" s="6"/>
      <c r="J23" s="1"/>
      <c r="K23" s="1"/>
      <c r="L23" s="1"/>
    </row>
    <row r="24" spans="1:12" ht="12.75">
      <c r="A24" s="45">
        <v>13</v>
      </c>
      <c r="B24" s="53">
        <v>4.2</v>
      </c>
      <c r="C24" s="53">
        <f t="shared" si="0"/>
        <v>3.7</v>
      </c>
      <c r="D24" s="13">
        <f>iWoTab!P28</f>
        <v>459465.08387725975</v>
      </c>
      <c r="E24" s="12"/>
      <c r="F24" s="20">
        <f t="shared" si="1"/>
        <v>291311.43671178195</v>
      </c>
      <c r="G24" s="17">
        <f t="shared" si="3"/>
        <v>168153.6471654778</v>
      </c>
      <c r="H24" s="17">
        <f t="shared" si="2"/>
        <v>3712346.8291329276</v>
      </c>
      <c r="I24" s="6"/>
      <c r="J24" s="1"/>
      <c r="K24" s="1"/>
      <c r="L24" s="1"/>
    </row>
    <row r="25" spans="1:12" ht="12.75">
      <c r="A25" s="45">
        <v>14</v>
      </c>
      <c r="B25" s="53">
        <v>4.6</v>
      </c>
      <c r="C25" s="53">
        <f t="shared" si="0"/>
        <v>4.1</v>
      </c>
      <c r="D25" s="13">
        <f>iWoTab!P29</f>
        <v>410285.83673817466</v>
      </c>
      <c r="E25" s="12"/>
      <c r="F25" s="20">
        <f t="shared" si="1"/>
        <v>239517.88259805998</v>
      </c>
      <c r="G25" s="17">
        <f t="shared" si="3"/>
        <v>170767.95414011469</v>
      </c>
      <c r="H25" s="17">
        <f t="shared" si="2"/>
        <v>3472828.9465348674</v>
      </c>
      <c r="I25" s="6"/>
      <c r="J25" s="1"/>
      <c r="K25" s="1"/>
      <c r="L25" s="1"/>
    </row>
    <row r="26" spans="1:12" ht="12.75">
      <c r="A26" s="45">
        <v>15</v>
      </c>
      <c r="B26" s="53">
        <v>5</v>
      </c>
      <c r="C26" s="53">
        <f t="shared" si="0"/>
        <v>4.5</v>
      </c>
      <c r="D26" s="13">
        <f>iWoTab!P30</f>
        <v>460933.3584726049</v>
      </c>
      <c r="E26" s="12"/>
      <c r="F26" s="20">
        <f t="shared" si="1"/>
        <v>287291.9111458615</v>
      </c>
      <c r="G26" s="17">
        <f t="shared" si="3"/>
        <v>173641.4473267434</v>
      </c>
      <c r="H26" s="17">
        <f t="shared" si="2"/>
        <v>3185537.035389006</v>
      </c>
      <c r="I26" s="6"/>
      <c r="J26" s="1"/>
      <c r="K26" s="1"/>
      <c r="L26" s="2"/>
    </row>
    <row r="27" spans="1:12" ht="12.75">
      <c r="A27" s="45">
        <v>16</v>
      </c>
      <c r="B27" s="53">
        <v>4.6</v>
      </c>
      <c r="C27" s="53">
        <f t="shared" si="0"/>
        <v>4.1</v>
      </c>
      <c r="D27" s="13">
        <f>iWoTab!P31</f>
        <v>458369.59697712556</v>
      </c>
      <c r="E27" s="29"/>
      <c r="F27" s="20">
        <f t="shared" si="1"/>
        <v>311834.8933492313</v>
      </c>
      <c r="G27" s="17">
        <f t="shared" si="3"/>
        <v>146534.70362789428</v>
      </c>
      <c r="H27" s="17">
        <f t="shared" si="2"/>
        <v>2873702.142039775</v>
      </c>
      <c r="I27" s="1"/>
      <c r="J27" s="2"/>
      <c r="K27" s="1"/>
      <c r="L27" s="1"/>
    </row>
    <row r="28" spans="1:8" ht="12.75">
      <c r="A28" s="45">
        <v>17</v>
      </c>
      <c r="B28" s="53">
        <v>4.2</v>
      </c>
      <c r="C28" s="53">
        <f t="shared" si="0"/>
        <v>3.7</v>
      </c>
      <c r="D28" s="13">
        <f>iWoTab!P32</f>
        <v>415573.98837100936</v>
      </c>
      <c r="E28" s="29"/>
      <c r="F28" s="20">
        <f t="shared" si="1"/>
        <v>294878.4984053388</v>
      </c>
      <c r="G28" s="17">
        <f t="shared" si="3"/>
        <v>120695.48996567055</v>
      </c>
      <c r="H28" s="17">
        <f t="shared" si="2"/>
        <v>2578823.643634436</v>
      </c>
    </row>
    <row r="29" spans="1:8" ht="12.75">
      <c r="A29" s="45">
        <v>18</v>
      </c>
      <c r="B29" s="53">
        <v>3.8</v>
      </c>
      <c r="C29" s="53">
        <f t="shared" si="0"/>
        <v>3.3</v>
      </c>
      <c r="D29" s="13">
        <f>iWoTab!P33</f>
        <v>420522.9356645673</v>
      </c>
      <c r="E29" s="29"/>
      <c r="F29" s="20">
        <f t="shared" si="1"/>
        <v>322527.6372064587</v>
      </c>
      <c r="G29" s="17">
        <f t="shared" si="3"/>
        <v>97995.29845810856</v>
      </c>
      <c r="H29" s="17">
        <f t="shared" si="2"/>
        <v>2256296.0064279772</v>
      </c>
    </row>
    <row r="30" spans="1:12" ht="12.75">
      <c r="A30" s="45">
        <v>19</v>
      </c>
      <c r="B30" s="53">
        <v>3.4</v>
      </c>
      <c r="C30" s="53">
        <f t="shared" si="0"/>
        <v>2.9</v>
      </c>
      <c r="D30" s="13">
        <f>iWoTab!P34</f>
        <v>434190.37912333146</v>
      </c>
      <c r="E30" s="29"/>
      <c r="F30" s="20">
        <f>D30-G30</f>
        <v>357476.31490478024</v>
      </c>
      <c r="G30" s="17">
        <f>B30*H29/100</f>
        <v>76714.06421855123</v>
      </c>
      <c r="H30" s="17">
        <f>H29-F30</f>
        <v>1898819.691523197</v>
      </c>
      <c r="I30" s="1"/>
      <c r="J30" s="1"/>
      <c r="K30" s="1"/>
      <c r="L30" s="1"/>
    </row>
    <row r="31" spans="1:12" ht="12.75">
      <c r="A31" s="45">
        <v>20</v>
      </c>
      <c r="B31" s="53">
        <v>3</v>
      </c>
      <c r="C31" s="53">
        <f t="shared" si="0"/>
        <v>2.5</v>
      </c>
      <c r="D31" s="13">
        <f>iWoTab!P35</f>
        <v>6818312.0244689</v>
      </c>
      <c r="E31" s="29"/>
      <c r="F31" s="43">
        <f>H30</f>
        <v>1898819.691523197</v>
      </c>
      <c r="G31" s="17">
        <f>B31*H30/100</f>
        <v>56964.59074569591</v>
      </c>
      <c r="H31" s="17">
        <f>H30-F31</f>
        <v>0</v>
      </c>
      <c r="I31" s="1">
        <f>D31-F31-G31</f>
        <v>4862527.742200007</v>
      </c>
      <c r="J31" s="1"/>
      <c r="K31" s="1"/>
      <c r="L31" s="2">
        <f>L30+I31+K31</f>
        <v>4862527.742200007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50"/>
  <sheetViews>
    <sheetView zoomScale="135" zoomScaleNormal="135" workbookViewId="0" topLeftCell="A1">
      <selection activeCell="A1" sqref="A1"/>
    </sheetView>
  </sheetViews>
  <sheetFormatPr defaultColWidth="11.421875" defaultRowHeight="12.75"/>
  <cols>
    <col min="1" max="1" width="4.421875" style="0" customWidth="1"/>
    <col min="2" max="2" width="10.421875" style="0" customWidth="1"/>
    <col min="3" max="3" width="10.140625" style="0" customWidth="1"/>
    <col min="4" max="4" width="10.7109375" style="0" customWidth="1"/>
    <col min="5" max="5" width="15.28125" style="0" bestFit="1" customWidth="1"/>
    <col min="6" max="6" width="10.140625" style="0" customWidth="1"/>
    <col min="10" max="10" width="17.57421875" style="0" bestFit="1" customWidth="1"/>
    <col min="11" max="11" width="20.28125" style="0" bestFit="1" customWidth="1"/>
  </cols>
  <sheetData>
    <row r="2" spans="1:10" ht="12.75">
      <c r="A2" s="3" t="s">
        <v>0</v>
      </c>
      <c r="B2" s="3" t="s">
        <v>11</v>
      </c>
      <c r="C2" s="3" t="s">
        <v>12</v>
      </c>
      <c r="D2" s="3" t="s">
        <v>7</v>
      </c>
      <c r="E2" s="3" t="s">
        <v>1</v>
      </c>
      <c r="F2" s="3" t="s">
        <v>8</v>
      </c>
      <c r="G2" s="3" t="s">
        <v>34</v>
      </c>
      <c r="H2" s="3"/>
      <c r="I2" s="3"/>
      <c r="J2" s="3"/>
    </row>
    <row r="3" spans="1:10" ht="12.75">
      <c r="A3" s="3">
        <v>0</v>
      </c>
      <c r="B3" s="6"/>
      <c r="C3" s="6">
        <v>-9000000</v>
      </c>
      <c r="D3" s="6">
        <f aca="true" t="shared" si="0" ref="D3:D9">B3+C3</f>
        <v>-9000000</v>
      </c>
      <c r="E3" s="4">
        <v>1</v>
      </c>
      <c r="F3" s="1">
        <f>D3*E3</f>
        <v>-9000000</v>
      </c>
      <c r="H3" s="3"/>
      <c r="I3" s="3"/>
      <c r="J3" s="3"/>
    </row>
    <row r="4" spans="1:11" ht="12.75">
      <c r="A4" s="3">
        <v>1</v>
      </c>
      <c r="B4" s="6">
        <v>1000000</v>
      </c>
      <c r="C4" s="6">
        <v>-250000</v>
      </c>
      <c r="D4" s="6">
        <f t="shared" si="0"/>
        <v>750000</v>
      </c>
      <c r="E4" s="4">
        <f aca="true" t="shared" si="1" ref="E4:E9">1/(1.1^A4)</f>
        <v>0.9090909090909091</v>
      </c>
      <c r="F4" s="1">
        <f aca="true" t="shared" si="2" ref="F4:F9">D4*E4</f>
        <v>681818.1818181818</v>
      </c>
      <c r="H4" s="3"/>
      <c r="I4" s="1"/>
      <c r="J4" s="1"/>
      <c r="K4" s="5"/>
    </row>
    <row r="5" spans="1:11" ht="12.75">
      <c r="A5" s="3">
        <v>2</v>
      </c>
      <c r="B5" s="6">
        <v>1000000</v>
      </c>
      <c r="C5" s="6">
        <v>-250000</v>
      </c>
      <c r="D5" s="6">
        <f t="shared" si="0"/>
        <v>750000</v>
      </c>
      <c r="E5" s="4">
        <f t="shared" si="1"/>
        <v>0.8264462809917354</v>
      </c>
      <c r="F5" s="1">
        <f t="shared" si="2"/>
        <v>619834.7107438016</v>
      </c>
      <c r="H5" s="3"/>
      <c r="I5" s="1"/>
      <c r="J5" s="1"/>
      <c r="K5" s="5"/>
    </row>
    <row r="6" spans="1:11" ht="12.75">
      <c r="A6" s="3">
        <v>3</v>
      </c>
      <c r="B6" s="6">
        <v>1000000</v>
      </c>
      <c r="C6" s="6">
        <v>-250000</v>
      </c>
      <c r="D6" s="6">
        <f t="shared" si="0"/>
        <v>750000</v>
      </c>
      <c r="E6" s="4">
        <f t="shared" si="1"/>
        <v>0.7513148009015775</v>
      </c>
      <c r="F6" s="1">
        <f t="shared" si="2"/>
        <v>563486.1006761831</v>
      </c>
      <c r="H6" s="3"/>
      <c r="I6" s="1"/>
      <c r="J6" s="1"/>
      <c r="K6" s="5"/>
    </row>
    <row r="7" spans="1:6" ht="12.75">
      <c r="A7" s="3">
        <v>4</v>
      </c>
      <c r="B7" s="6">
        <v>1200000</v>
      </c>
      <c r="C7" s="6">
        <v>-250000</v>
      </c>
      <c r="D7" s="6">
        <f t="shared" si="0"/>
        <v>950000</v>
      </c>
      <c r="E7" s="4">
        <f t="shared" si="1"/>
        <v>0.6830134553650705</v>
      </c>
      <c r="F7" s="1">
        <f t="shared" si="2"/>
        <v>648862.782596817</v>
      </c>
    </row>
    <row r="8" spans="1:6" ht="12.75">
      <c r="A8" s="3">
        <v>5</v>
      </c>
      <c r="B8" s="6">
        <v>1200000</v>
      </c>
      <c r="C8" s="6">
        <v>-250000</v>
      </c>
      <c r="D8" s="6">
        <f t="shared" si="0"/>
        <v>950000</v>
      </c>
      <c r="E8" s="4">
        <f t="shared" si="1"/>
        <v>0.6209213230591549</v>
      </c>
      <c r="F8" s="1">
        <f t="shared" si="2"/>
        <v>589875.2569061972</v>
      </c>
    </row>
    <row r="9" spans="1:6" ht="12.75">
      <c r="A9" s="3">
        <v>6</v>
      </c>
      <c r="B9" s="6">
        <v>13200000</v>
      </c>
      <c r="C9" s="6">
        <v>-250000</v>
      </c>
      <c r="D9" s="6">
        <f t="shared" si="0"/>
        <v>12950000</v>
      </c>
      <c r="E9" s="4">
        <f t="shared" si="1"/>
        <v>0.5644739300537772</v>
      </c>
      <c r="F9" s="1">
        <f t="shared" si="2"/>
        <v>7309937.394196415</v>
      </c>
    </row>
    <row r="10" spans="6:7" ht="12.75">
      <c r="F10" s="2">
        <f>SUM(F3:F9)</f>
        <v>1413814.426937596</v>
      </c>
      <c r="G10" s="24">
        <f>IRR(D3:D9)</f>
        <v>0.13222500934178727</v>
      </c>
    </row>
    <row r="13" spans="1:7" ht="12.75">
      <c r="A13" s="3" t="s">
        <v>0</v>
      </c>
      <c r="B13" s="3" t="s">
        <v>11</v>
      </c>
      <c r="C13" s="3" t="s">
        <v>12</v>
      </c>
      <c r="D13" s="3" t="s">
        <v>7</v>
      </c>
      <c r="E13" s="3" t="s">
        <v>1</v>
      </c>
      <c r="F13" s="3" t="s">
        <v>8</v>
      </c>
      <c r="G13" s="3" t="s">
        <v>34</v>
      </c>
    </row>
    <row r="14" spans="1:6" ht="12.75">
      <c r="A14" s="3">
        <v>0</v>
      </c>
      <c r="B14" s="6"/>
      <c r="C14" s="6">
        <v>-4500000</v>
      </c>
      <c r="D14" s="6">
        <f>B14+C14</f>
        <v>-4500000</v>
      </c>
      <c r="E14" s="4">
        <v>1</v>
      </c>
      <c r="F14" s="1">
        <f>D14*E14</f>
        <v>-4500000</v>
      </c>
    </row>
    <row r="15" spans="1:6" ht="12.75">
      <c r="A15" s="3">
        <v>1</v>
      </c>
      <c r="B15" s="1">
        <v>500000</v>
      </c>
      <c r="C15" s="6">
        <v>-80000</v>
      </c>
      <c r="D15" s="6">
        <f aca="true" t="shared" si="3" ref="D15:D29">B15+C15</f>
        <v>420000</v>
      </c>
      <c r="E15" s="4">
        <f>1/(1.1^A15)</f>
        <v>0.9090909090909091</v>
      </c>
      <c r="F15" s="1">
        <f aca="true" t="shared" si="4" ref="F15:F29">D15*E15</f>
        <v>381818.1818181818</v>
      </c>
    </row>
    <row r="16" spans="1:6" ht="12.75">
      <c r="A16" s="3">
        <v>2</v>
      </c>
      <c r="B16" s="1">
        <f aca="true" t="shared" si="5" ref="B16:B28">B15*1.0375</f>
        <v>518750.00000000006</v>
      </c>
      <c r="C16" s="6">
        <f>C15*1.025</f>
        <v>-82000</v>
      </c>
      <c r="D16" s="6">
        <f t="shared" si="3"/>
        <v>436750.00000000006</v>
      </c>
      <c r="E16" s="4">
        <f aca="true" t="shared" si="6" ref="E16:E29">1/(1.1^A16)</f>
        <v>0.8264462809917354</v>
      </c>
      <c r="F16" s="1">
        <f t="shared" si="4"/>
        <v>360950.4132231405</v>
      </c>
    </row>
    <row r="17" spans="1:6" ht="12.75">
      <c r="A17" s="3">
        <v>3</v>
      </c>
      <c r="B17" s="1">
        <f t="shared" si="5"/>
        <v>538203.1250000001</v>
      </c>
      <c r="C17" s="6">
        <f aca="true" t="shared" si="7" ref="C17:C29">C16*1.025</f>
        <v>-84049.99999999999</v>
      </c>
      <c r="D17" s="6">
        <f t="shared" si="3"/>
        <v>454153.1250000001</v>
      </c>
      <c r="E17" s="4">
        <f t="shared" si="6"/>
        <v>0.7513148009015775</v>
      </c>
      <c r="F17" s="1">
        <f t="shared" si="4"/>
        <v>341211.96468820435</v>
      </c>
    </row>
    <row r="18" spans="1:6" ht="12.75">
      <c r="A18" s="3">
        <v>4</v>
      </c>
      <c r="B18" s="1">
        <f t="shared" si="5"/>
        <v>558385.7421875001</v>
      </c>
      <c r="C18" s="6">
        <f t="shared" si="7"/>
        <v>-86151.24999999997</v>
      </c>
      <c r="D18" s="6">
        <f t="shared" si="3"/>
        <v>472234.4921875001</v>
      </c>
      <c r="E18" s="4">
        <f t="shared" si="6"/>
        <v>0.6830134553650705</v>
      </c>
      <c r="F18" s="1">
        <f t="shared" si="4"/>
        <v>322542.5122515539</v>
      </c>
    </row>
    <row r="19" spans="1:6" ht="12.75">
      <c r="A19" s="3">
        <v>5</v>
      </c>
      <c r="B19" s="1">
        <f t="shared" si="5"/>
        <v>579325.2075195314</v>
      </c>
      <c r="C19" s="6">
        <f t="shared" si="7"/>
        <v>-88305.03124999996</v>
      </c>
      <c r="D19" s="6">
        <f t="shared" si="3"/>
        <v>491020.1762695314</v>
      </c>
      <c r="E19" s="4">
        <f t="shared" si="6"/>
        <v>0.6209213230591549</v>
      </c>
      <c r="F19" s="1">
        <f t="shared" si="4"/>
        <v>304884.89749801694</v>
      </c>
    </row>
    <row r="20" spans="1:6" ht="12.75">
      <c r="A20" s="3">
        <v>6</v>
      </c>
      <c r="B20" s="1">
        <f t="shared" si="5"/>
        <v>601049.9028015138</v>
      </c>
      <c r="C20" s="6">
        <f t="shared" si="7"/>
        <v>-90512.65703124995</v>
      </c>
      <c r="D20" s="6">
        <f t="shared" si="3"/>
        <v>510537.24577026383</v>
      </c>
      <c r="E20" s="4">
        <f t="shared" si="6"/>
        <v>0.5644739300537772</v>
      </c>
      <c r="F20" s="1">
        <f t="shared" si="4"/>
        <v>288184.965558772</v>
      </c>
    </row>
    <row r="21" spans="1:6" ht="12.75">
      <c r="A21" s="3">
        <v>7</v>
      </c>
      <c r="B21" s="1">
        <f t="shared" si="5"/>
        <v>623589.2741565706</v>
      </c>
      <c r="C21" s="6">
        <f t="shared" si="7"/>
        <v>-92775.4734570312</v>
      </c>
      <c r="D21" s="6">
        <f t="shared" si="3"/>
        <v>530813.8006995394</v>
      </c>
      <c r="E21" s="4">
        <f t="shared" si="6"/>
        <v>0.5131581182307065</v>
      </c>
      <c r="F21" s="1">
        <f t="shared" si="4"/>
        <v>272391.41109786485</v>
      </c>
    </row>
    <row r="22" spans="1:6" ht="12.75">
      <c r="A22" s="3">
        <v>8</v>
      </c>
      <c r="B22" s="1">
        <f t="shared" si="5"/>
        <v>646973.871937442</v>
      </c>
      <c r="C22" s="6">
        <f t="shared" si="7"/>
        <v>-95094.86029345696</v>
      </c>
      <c r="D22" s="6">
        <f t="shared" si="3"/>
        <v>551879.011643985</v>
      </c>
      <c r="E22" s="4">
        <f t="shared" si="6"/>
        <v>0.46650738020973315</v>
      </c>
      <c r="F22" s="1">
        <f t="shared" si="4"/>
        <v>257455.63191477227</v>
      </c>
    </row>
    <row r="23" spans="1:6" ht="12.75">
      <c r="A23" s="3">
        <v>9</v>
      </c>
      <c r="B23" s="1">
        <f t="shared" si="5"/>
        <v>671235.3921350961</v>
      </c>
      <c r="C23" s="6">
        <f t="shared" si="7"/>
        <v>-97472.23180079338</v>
      </c>
      <c r="D23" s="6">
        <f t="shared" si="3"/>
        <v>573763.1603343028</v>
      </c>
      <c r="E23" s="4">
        <f t="shared" si="6"/>
        <v>0.42409761837248466</v>
      </c>
      <c r="F23" s="1">
        <f t="shared" si="4"/>
        <v>243331.5898076479</v>
      </c>
    </row>
    <row r="24" spans="1:6" ht="12.75">
      <c r="A24" s="3">
        <v>10</v>
      </c>
      <c r="B24" s="1">
        <f t="shared" si="5"/>
        <v>696406.7193401624</v>
      </c>
      <c r="C24" s="6">
        <f t="shared" si="7"/>
        <v>-99909.0375958132</v>
      </c>
      <c r="D24" s="6">
        <f t="shared" si="3"/>
        <v>596497.6817443492</v>
      </c>
      <c r="E24" s="4">
        <f t="shared" si="6"/>
        <v>0.3855432894295315</v>
      </c>
      <c r="F24" s="1">
        <f t="shared" si="4"/>
        <v>229975.67835680617</v>
      </c>
    </row>
    <row r="25" spans="1:6" ht="12.75">
      <c r="A25" s="3">
        <v>11</v>
      </c>
      <c r="B25" s="1">
        <f t="shared" si="5"/>
        <v>722521.9713154185</v>
      </c>
      <c r="C25" s="6">
        <f t="shared" si="7"/>
        <v>-102406.76353570852</v>
      </c>
      <c r="D25" s="6">
        <f t="shared" si="3"/>
        <v>620115.20777971</v>
      </c>
      <c r="E25" s="4">
        <f t="shared" si="6"/>
        <v>0.3504938994813922</v>
      </c>
      <c r="F25" s="1">
        <f t="shared" si="4"/>
        <v>217346.59730242428</v>
      </c>
    </row>
    <row r="26" spans="1:6" ht="12.75">
      <c r="A26" s="3">
        <v>12</v>
      </c>
      <c r="B26" s="1">
        <f t="shared" si="5"/>
        <v>749616.5452397467</v>
      </c>
      <c r="C26" s="6">
        <f t="shared" si="7"/>
        <v>-104966.93262410123</v>
      </c>
      <c r="D26" s="6">
        <f t="shared" si="3"/>
        <v>644649.6126156454</v>
      </c>
      <c r="E26" s="4">
        <f t="shared" si="6"/>
        <v>0.31863081771035656</v>
      </c>
      <c r="F26" s="1">
        <f t="shared" si="4"/>
        <v>205405.23320438768</v>
      </c>
    </row>
    <row r="27" spans="1:6" ht="12.75">
      <c r="A27" s="3">
        <v>13</v>
      </c>
      <c r="B27" s="1">
        <f t="shared" si="5"/>
        <v>777727.1656862373</v>
      </c>
      <c r="C27" s="6">
        <f t="shared" si="7"/>
        <v>-107591.10593970375</v>
      </c>
      <c r="D27" s="6">
        <f t="shared" si="3"/>
        <v>670136.0597465335</v>
      </c>
      <c r="E27" s="4">
        <f t="shared" si="6"/>
        <v>0.2896643797366878</v>
      </c>
      <c r="F27" s="1">
        <f t="shared" si="4"/>
        <v>194114.5460856676</v>
      </c>
    </row>
    <row r="28" spans="1:6" ht="12.75">
      <c r="A28" s="3">
        <v>14</v>
      </c>
      <c r="B28" s="1">
        <f t="shared" si="5"/>
        <v>806891.9343994713</v>
      </c>
      <c r="C28" s="6">
        <f t="shared" si="7"/>
        <v>-110280.88358819633</v>
      </c>
      <c r="D28" s="6">
        <f t="shared" si="3"/>
        <v>696611.0508112749</v>
      </c>
      <c r="E28" s="4">
        <f t="shared" si="6"/>
        <v>0.26333125430607973</v>
      </c>
      <c r="F28" s="1">
        <f t="shared" si="4"/>
        <v>183439.46177360928</v>
      </c>
    </row>
    <row r="29" spans="1:6" ht="12.75">
      <c r="A29" s="3">
        <v>15</v>
      </c>
      <c r="B29" s="1">
        <f>B28*1.0375+B28*10</f>
        <v>8906069.725934165</v>
      </c>
      <c r="C29" s="6">
        <f t="shared" si="7"/>
        <v>-113037.90567790123</v>
      </c>
      <c r="D29" s="6">
        <f t="shared" si="3"/>
        <v>8793031.820256263</v>
      </c>
      <c r="E29" s="4">
        <f t="shared" si="6"/>
        <v>0.2393920493691634</v>
      </c>
      <c r="F29" s="1">
        <f t="shared" si="4"/>
        <v>2104981.907619412</v>
      </c>
    </row>
    <row r="30" spans="6:7" ht="12.75">
      <c r="F30" s="2">
        <f>SUM(F14:F29)</f>
        <v>1408034.992200461</v>
      </c>
      <c r="G30" s="24">
        <f>IRR(D14:D29)</f>
        <v>0.13305977963894272</v>
      </c>
    </row>
    <row r="33" spans="3:7" ht="12.75">
      <c r="C33" s="3" t="s">
        <v>0</v>
      </c>
      <c r="D33" s="3" t="s">
        <v>7</v>
      </c>
      <c r="E33" s="3" t="s">
        <v>1</v>
      </c>
      <c r="F33" s="3" t="s">
        <v>8</v>
      </c>
      <c r="G33" s="3" t="s">
        <v>34</v>
      </c>
    </row>
    <row r="34" spans="3:6" ht="12.75">
      <c r="C34" s="7">
        <v>0</v>
      </c>
      <c r="D34" s="20">
        <f>D14*2</f>
        <v>-9000000</v>
      </c>
      <c r="E34" s="4">
        <f>E14</f>
        <v>1</v>
      </c>
      <c r="F34" s="1">
        <f>D34*E34</f>
        <v>-9000000</v>
      </c>
    </row>
    <row r="35" spans="3:6" ht="12.75">
      <c r="C35" s="7">
        <v>1</v>
      </c>
      <c r="D35" s="20">
        <f aca="true" t="shared" si="8" ref="D35:D49">D15*2</f>
        <v>840000</v>
      </c>
      <c r="E35" s="4">
        <f aca="true" t="shared" si="9" ref="E35:E49">E15</f>
        <v>0.9090909090909091</v>
      </c>
      <c r="F35" s="1">
        <f aca="true" t="shared" si="10" ref="F35:F49">D35*E35</f>
        <v>763636.3636363636</v>
      </c>
    </row>
    <row r="36" spans="3:6" ht="12.75">
      <c r="C36" s="7">
        <v>2</v>
      </c>
      <c r="D36" s="20">
        <f t="shared" si="8"/>
        <v>873500.0000000001</v>
      </c>
      <c r="E36" s="4">
        <f t="shared" si="9"/>
        <v>0.8264462809917354</v>
      </c>
      <c r="F36" s="1">
        <f t="shared" si="10"/>
        <v>721900.826446281</v>
      </c>
    </row>
    <row r="37" spans="3:6" ht="12.75">
      <c r="C37" s="7">
        <v>3</v>
      </c>
      <c r="D37" s="20">
        <f t="shared" si="8"/>
        <v>908306.2500000002</v>
      </c>
      <c r="E37" s="4">
        <f t="shared" si="9"/>
        <v>0.7513148009015775</v>
      </c>
      <c r="F37" s="1">
        <f t="shared" si="10"/>
        <v>682423.9293764087</v>
      </c>
    </row>
    <row r="38" spans="3:6" ht="12.75">
      <c r="C38" s="7">
        <v>4</v>
      </c>
      <c r="D38" s="20">
        <f t="shared" si="8"/>
        <v>944468.9843750002</v>
      </c>
      <c r="E38" s="4">
        <f t="shared" si="9"/>
        <v>0.6830134553650705</v>
      </c>
      <c r="F38" s="1">
        <f t="shared" si="10"/>
        <v>645085.0245031078</v>
      </c>
    </row>
    <row r="39" spans="3:6" ht="12.75">
      <c r="C39" s="7">
        <v>5</v>
      </c>
      <c r="D39" s="20">
        <f t="shared" si="8"/>
        <v>982040.3525390628</v>
      </c>
      <c r="E39" s="4">
        <f t="shared" si="9"/>
        <v>0.6209213230591549</v>
      </c>
      <c r="F39" s="1">
        <f t="shared" si="10"/>
        <v>609769.7949960339</v>
      </c>
    </row>
    <row r="40" spans="3:6" ht="12.75">
      <c r="C40" s="7">
        <v>6</v>
      </c>
      <c r="D40" s="20">
        <f t="shared" si="8"/>
        <v>1021074.4915405277</v>
      </c>
      <c r="E40" s="4">
        <f t="shared" si="9"/>
        <v>0.5644739300537772</v>
      </c>
      <c r="F40" s="1">
        <f t="shared" si="10"/>
        <v>576369.931117544</v>
      </c>
    </row>
    <row r="41" spans="3:6" ht="12.75">
      <c r="C41" s="7">
        <v>7</v>
      </c>
      <c r="D41" s="20">
        <f t="shared" si="8"/>
        <v>1061627.6013990787</v>
      </c>
      <c r="E41" s="4">
        <f t="shared" si="9"/>
        <v>0.5131581182307065</v>
      </c>
      <c r="F41" s="1">
        <f t="shared" si="10"/>
        <v>544782.8221957297</v>
      </c>
    </row>
    <row r="42" spans="3:6" ht="12.75">
      <c r="C42" s="7">
        <v>8</v>
      </c>
      <c r="D42" s="20">
        <f t="shared" si="8"/>
        <v>1103758.02328797</v>
      </c>
      <c r="E42" s="4">
        <f t="shared" si="9"/>
        <v>0.46650738020973315</v>
      </c>
      <c r="F42" s="1">
        <f t="shared" si="10"/>
        <v>514911.26382954454</v>
      </c>
    </row>
    <row r="43" spans="3:6" ht="12.75">
      <c r="C43" s="7">
        <v>9</v>
      </c>
      <c r="D43" s="20">
        <f t="shared" si="8"/>
        <v>1147526.3206686056</v>
      </c>
      <c r="E43" s="4">
        <f t="shared" si="9"/>
        <v>0.42409761837248466</v>
      </c>
      <c r="F43" s="1">
        <f t="shared" si="10"/>
        <v>486663.1796152958</v>
      </c>
    </row>
    <row r="44" spans="3:6" ht="12.75">
      <c r="C44" s="7">
        <v>10</v>
      </c>
      <c r="D44" s="20">
        <f t="shared" si="8"/>
        <v>1192995.3634886984</v>
      </c>
      <c r="E44" s="4">
        <f t="shared" si="9"/>
        <v>0.3855432894295315</v>
      </c>
      <c r="F44" s="1">
        <f t="shared" si="10"/>
        <v>459951.35671361233</v>
      </c>
    </row>
    <row r="45" spans="3:6" ht="12.75">
      <c r="C45" s="7">
        <v>11</v>
      </c>
      <c r="D45" s="20">
        <f t="shared" si="8"/>
        <v>1240230.41555942</v>
      </c>
      <c r="E45" s="4">
        <f t="shared" si="9"/>
        <v>0.3504938994813922</v>
      </c>
      <c r="F45" s="1">
        <f t="shared" si="10"/>
        <v>434693.19460484857</v>
      </c>
    </row>
    <row r="46" spans="3:6" ht="12.75">
      <c r="C46" s="7">
        <v>12</v>
      </c>
      <c r="D46" s="20">
        <f t="shared" si="8"/>
        <v>1289299.2252312908</v>
      </c>
      <c r="E46" s="4">
        <f t="shared" si="9"/>
        <v>0.31863081771035656</v>
      </c>
      <c r="F46" s="1">
        <f t="shared" si="10"/>
        <v>410810.46640877536</v>
      </c>
    </row>
    <row r="47" spans="3:6" ht="12.75">
      <c r="C47" s="7">
        <v>13</v>
      </c>
      <c r="D47" s="20">
        <f t="shared" si="8"/>
        <v>1340272.119493067</v>
      </c>
      <c r="E47" s="4">
        <f t="shared" si="9"/>
        <v>0.2896643797366878</v>
      </c>
      <c r="F47" s="1">
        <f t="shared" si="10"/>
        <v>388229.0921713352</v>
      </c>
    </row>
    <row r="48" spans="3:6" ht="12.75">
      <c r="C48" s="7">
        <v>14</v>
      </c>
      <c r="D48" s="20">
        <f t="shared" si="8"/>
        <v>1393222.1016225498</v>
      </c>
      <c r="E48" s="4">
        <f t="shared" si="9"/>
        <v>0.26333125430607973</v>
      </c>
      <c r="F48" s="1">
        <f t="shared" si="10"/>
        <v>366878.92354721855</v>
      </c>
    </row>
    <row r="49" spans="3:6" ht="12.75">
      <c r="C49" s="7">
        <v>15</v>
      </c>
      <c r="D49" s="20">
        <f t="shared" si="8"/>
        <v>17586063.640512526</v>
      </c>
      <c r="E49" s="4">
        <f t="shared" si="9"/>
        <v>0.2393920493691634</v>
      </c>
      <c r="F49" s="1">
        <f t="shared" si="10"/>
        <v>4209963.815238824</v>
      </c>
    </row>
    <row r="50" spans="6:7" ht="12.75">
      <c r="F50" s="2">
        <f>SUM(F34:F49)</f>
        <v>2816069.984400922</v>
      </c>
      <c r="G50" s="24">
        <f>IRR(D34:D49)</f>
        <v>0.13305977963894272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35" zoomScaleNormal="135" workbookViewId="0" topLeftCell="A13">
      <selection activeCell="B36" sqref="B36"/>
    </sheetView>
  </sheetViews>
  <sheetFormatPr defaultColWidth="11.421875" defaultRowHeight="12.75"/>
  <cols>
    <col min="1" max="1" width="4.7109375" style="0" customWidth="1"/>
    <col min="2" max="2" width="11.00390625" style="0" customWidth="1"/>
    <col min="3" max="3" width="10.421875" style="0" customWidth="1"/>
    <col min="4" max="5" width="9.421875" style="0" customWidth="1"/>
    <col min="6" max="6" width="15.140625" style="0" customWidth="1"/>
    <col min="7" max="7" width="15.140625" style="0" hidden="1" customWidth="1"/>
    <col min="8" max="8" width="7.8515625" style="0" hidden="1" customWidth="1"/>
    <col min="9" max="9" width="9.57421875" style="0" hidden="1" customWidth="1"/>
    <col min="10" max="10" width="12.7109375" style="0" hidden="1" customWidth="1"/>
    <col min="11" max="11" width="12.57421875" style="0" customWidth="1"/>
    <col min="12" max="12" width="9.28125" style="0" customWidth="1"/>
    <col min="13" max="13" width="12.00390625" style="0" customWidth="1"/>
    <col min="14" max="14" width="14.00390625" style="0" customWidth="1"/>
    <col min="15" max="15" width="20.28125" style="0" bestFit="1" customWidth="1"/>
  </cols>
  <sheetData>
    <row r="1" spans="1:4" ht="12.75">
      <c r="A1" s="9"/>
      <c r="B1" s="62" t="s">
        <v>13</v>
      </c>
      <c r="C1" s="63"/>
      <c r="D1" s="63"/>
    </row>
    <row r="2" spans="1:4" ht="12.75">
      <c r="A2" s="9"/>
      <c r="B2" s="63" t="s">
        <v>170</v>
      </c>
      <c r="C2" s="63"/>
      <c r="D2" s="64">
        <f>iWoDat!$D$14</f>
        <v>7235750</v>
      </c>
    </row>
    <row r="3" spans="1:4" ht="12.75">
      <c r="A3" s="9"/>
      <c r="B3" s="63" t="s">
        <v>171</v>
      </c>
      <c r="C3" s="63"/>
      <c r="D3" s="64">
        <f>D2*0.35</f>
        <v>2532512.5</v>
      </c>
    </row>
    <row r="4" spans="1:4" ht="12.75">
      <c r="A4" s="9"/>
      <c r="B4" s="63" t="s">
        <v>172</v>
      </c>
      <c r="C4" s="63"/>
      <c r="D4" s="64">
        <f>D2-D3</f>
        <v>4703237.5</v>
      </c>
    </row>
    <row r="5" spans="2:8" ht="12.75">
      <c r="B5" s="63" t="s">
        <v>178</v>
      </c>
      <c r="C5" s="63"/>
      <c r="D5" s="65">
        <v>4.5</v>
      </c>
      <c r="E5" s="10"/>
      <c r="F5" s="10"/>
      <c r="G5" s="10"/>
      <c r="H5" s="10"/>
    </row>
    <row r="6" spans="2:8" ht="12.75">
      <c r="B6" s="63" t="s">
        <v>179</v>
      </c>
      <c r="C6" s="63"/>
      <c r="D6" s="65">
        <v>6</v>
      </c>
      <c r="E6" s="10"/>
      <c r="F6" s="10"/>
      <c r="G6" s="10"/>
      <c r="H6" s="10"/>
    </row>
    <row r="7" spans="2:8" ht="12.75">
      <c r="B7" s="63" t="s">
        <v>182</v>
      </c>
      <c r="C7" s="63"/>
      <c r="D7" s="65">
        <v>3.4</v>
      </c>
      <c r="E7" s="10"/>
      <c r="F7" s="10"/>
      <c r="G7" s="10"/>
      <c r="H7" s="10"/>
    </row>
    <row r="8" spans="2:8" ht="12.75">
      <c r="B8" s="63" t="s">
        <v>180</v>
      </c>
      <c r="C8" s="63"/>
      <c r="D8" s="65">
        <v>4.5</v>
      </c>
      <c r="E8" s="10"/>
      <c r="F8" s="10"/>
      <c r="G8" s="10"/>
      <c r="H8" s="10"/>
    </row>
    <row r="9" spans="2:8" ht="12.75">
      <c r="B9" s="63" t="s">
        <v>184</v>
      </c>
      <c r="C9" s="63"/>
      <c r="D9" s="65">
        <v>3</v>
      </c>
      <c r="E9" s="10"/>
      <c r="F9" s="10"/>
      <c r="G9" s="10"/>
      <c r="H9" s="10"/>
    </row>
    <row r="10" spans="2:8" ht="12.75">
      <c r="B10" s="63" t="s">
        <v>185</v>
      </c>
      <c r="C10" s="63"/>
      <c r="D10" s="65">
        <v>4.5</v>
      </c>
      <c r="E10" s="10"/>
      <c r="F10" s="10"/>
      <c r="G10" s="10"/>
      <c r="H10" s="10"/>
    </row>
    <row r="11" spans="2:8" ht="12.75">
      <c r="B11" s="63" t="s">
        <v>174</v>
      </c>
      <c r="C11" s="63"/>
      <c r="D11" s="64">
        <f>D4*(D5/100)+D4*(D7/100)</f>
        <v>371555.7625</v>
      </c>
      <c r="E11" s="10"/>
      <c r="F11" s="10"/>
      <c r="G11" s="10"/>
      <c r="H11" s="10"/>
    </row>
    <row r="12" spans="2:4" ht="12.75">
      <c r="B12" s="63" t="s">
        <v>186</v>
      </c>
      <c r="C12" s="63"/>
      <c r="D12" s="63">
        <v>20</v>
      </c>
    </row>
    <row r="13" ht="12.75">
      <c r="E13" s="21"/>
    </row>
    <row r="14" spans="3:11" ht="12.75">
      <c r="C14" s="3" t="s">
        <v>175</v>
      </c>
      <c r="D14" s="3" t="s">
        <v>175</v>
      </c>
      <c r="E14" s="3" t="s">
        <v>175</v>
      </c>
      <c r="F14" s="3" t="s">
        <v>7</v>
      </c>
      <c r="K14" s="54"/>
    </row>
    <row r="15" spans="1:14" ht="12.75">
      <c r="A15" s="3" t="s">
        <v>0</v>
      </c>
      <c r="B15" s="3" t="s">
        <v>7</v>
      </c>
      <c r="C15" s="3" t="s">
        <v>176</v>
      </c>
      <c r="D15" s="3" t="s">
        <v>173</v>
      </c>
      <c r="E15" s="3" t="s">
        <v>177</v>
      </c>
      <c r="F15" s="3" t="s">
        <v>181</v>
      </c>
      <c r="G15" s="3" t="s">
        <v>25</v>
      </c>
      <c r="H15" s="3" t="s">
        <v>26</v>
      </c>
      <c r="I15" s="3" t="s">
        <v>27</v>
      </c>
      <c r="J15" s="3" t="s">
        <v>31</v>
      </c>
      <c r="K15" s="55" t="s">
        <v>28</v>
      </c>
      <c r="L15" s="3" t="s">
        <v>29</v>
      </c>
      <c r="M15" s="3" t="s">
        <v>30</v>
      </c>
      <c r="N15" t="s">
        <v>32</v>
      </c>
    </row>
    <row r="16" spans="1:14" ht="12.75">
      <c r="A16" s="45">
        <v>0</v>
      </c>
      <c r="B16" s="19">
        <f>D3*(-1)</f>
        <v>-2532512.5</v>
      </c>
      <c r="C16" s="20"/>
      <c r="D16" s="20"/>
      <c r="E16" s="20"/>
      <c r="F16" s="20"/>
      <c r="G16" s="19"/>
      <c r="H16" s="20"/>
      <c r="I16" s="17"/>
      <c r="J16" s="20"/>
      <c r="K16" s="56"/>
      <c r="L16" s="20"/>
      <c r="M16" s="20"/>
      <c r="N16" s="23"/>
    </row>
    <row r="17" spans="1:14" ht="12.75">
      <c r="A17" s="45">
        <v>1</v>
      </c>
      <c r="B17" s="19">
        <f>iWoTab!P16</f>
        <v>375790</v>
      </c>
      <c r="C17" s="20">
        <f>D4</f>
        <v>4703237.5</v>
      </c>
      <c r="D17" s="20">
        <f>C17*($D$5/100)</f>
        <v>211645.6875</v>
      </c>
      <c r="E17" s="20">
        <f>C17*(D7/100)</f>
        <v>159910.075</v>
      </c>
      <c r="F17" s="20">
        <f>B17-D17-E17</f>
        <v>4234.237499999988</v>
      </c>
      <c r="G17" s="20"/>
      <c r="H17" s="20"/>
      <c r="I17" s="17"/>
      <c r="J17" s="17"/>
      <c r="K17" s="56">
        <f>F17</f>
        <v>4234.237499999988</v>
      </c>
      <c r="L17" s="20"/>
      <c r="M17" s="20">
        <v>0</v>
      </c>
      <c r="N17" s="23">
        <f>N16+K17+M17</f>
        <v>4234.237499999988</v>
      </c>
    </row>
    <row r="18" spans="1:14" ht="12.75">
      <c r="A18" s="45">
        <v>2</v>
      </c>
      <c r="B18" s="19">
        <f>iWoTab!P17</f>
        <v>413554.336</v>
      </c>
      <c r="C18" s="20">
        <f>C17-E17</f>
        <v>4543327.425</v>
      </c>
      <c r="D18" s="20">
        <f>C18*($D$5/100)</f>
        <v>204449.734125</v>
      </c>
      <c r="E18" s="20">
        <f>$D$11-D18</f>
        <v>167106.02837500002</v>
      </c>
      <c r="F18" s="20">
        <f aca="true" t="shared" si="0" ref="F18:F36">B18-D18-E18</f>
        <v>41998.5735</v>
      </c>
      <c r="G18" s="20"/>
      <c r="H18" s="20"/>
      <c r="I18" s="17"/>
      <c r="J18" s="17"/>
      <c r="K18" s="56">
        <f>F18</f>
        <v>41998.5735</v>
      </c>
      <c r="L18" s="20"/>
      <c r="M18" s="20">
        <f aca="true" t="shared" si="1" ref="M18:M26">N17*($D$9/100)</f>
        <v>127.02712499999964</v>
      </c>
      <c r="N18" s="23">
        <f>N17+K18+M18</f>
        <v>46359.83812499999</v>
      </c>
    </row>
    <row r="19" spans="1:14" ht="12.75">
      <c r="A19" s="45">
        <v>3</v>
      </c>
      <c r="B19" s="19">
        <f>iWoTab!P18</f>
        <v>420483.673048</v>
      </c>
      <c r="C19" s="20">
        <f aca="true" t="shared" si="2" ref="C19:C26">C18-E18</f>
        <v>4376221.396625</v>
      </c>
      <c r="D19" s="20">
        <f aca="true" t="shared" si="3" ref="D19:D26">C19*($D$5/100)</f>
        <v>196929.962848125</v>
      </c>
      <c r="E19" s="20">
        <f aca="true" t="shared" si="4" ref="E19:E33">$D$11-D19</f>
        <v>174625.79965187502</v>
      </c>
      <c r="F19" s="20">
        <f t="shared" si="0"/>
        <v>48927.910548000014</v>
      </c>
      <c r="G19" s="20"/>
      <c r="H19" s="20"/>
      <c r="I19" s="17"/>
      <c r="J19" s="17"/>
      <c r="K19" s="56">
        <f aca="true" t="shared" si="5" ref="K19:K26">F19</f>
        <v>48927.910548000014</v>
      </c>
      <c r="L19" s="20"/>
      <c r="M19" s="20">
        <f t="shared" si="1"/>
        <v>1390.7951437499996</v>
      </c>
      <c r="N19" s="23">
        <f aca="true" t="shared" si="6" ref="N19:N36">N18+K19+M19</f>
        <v>96678.54381675</v>
      </c>
    </row>
    <row r="20" spans="1:14" ht="12.75">
      <c r="A20" s="45">
        <v>4</v>
      </c>
      <c r="B20" s="19">
        <f>iWoTab!P19</f>
        <v>427486.58796786395</v>
      </c>
      <c r="C20" s="20">
        <f t="shared" si="2"/>
        <v>4201595.596973125</v>
      </c>
      <c r="D20" s="20">
        <f t="shared" si="3"/>
        <v>189071.8018637906</v>
      </c>
      <c r="E20" s="20">
        <f t="shared" si="4"/>
        <v>182483.9606362094</v>
      </c>
      <c r="F20" s="20">
        <f t="shared" si="0"/>
        <v>55930.825467863935</v>
      </c>
      <c r="G20" s="20"/>
      <c r="H20" s="20"/>
      <c r="I20" s="17"/>
      <c r="J20" s="17"/>
      <c r="K20" s="56">
        <f t="shared" si="5"/>
        <v>55930.825467863935</v>
      </c>
      <c r="L20" s="20"/>
      <c r="M20" s="20">
        <f t="shared" si="1"/>
        <v>2900.3563145024996</v>
      </c>
      <c r="N20" s="23">
        <f t="shared" si="6"/>
        <v>155509.72559911644</v>
      </c>
    </row>
    <row r="21" spans="1:14" ht="12.75">
      <c r="A21" s="45">
        <v>5</v>
      </c>
      <c r="B21" s="19">
        <f>iWoTab!P20</f>
        <v>434559.09213301056</v>
      </c>
      <c r="C21" s="20">
        <f t="shared" si="2"/>
        <v>4019111.6363369157</v>
      </c>
      <c r="D21" s="20">
        <f t="shared" si="3"/>
        <v>180860.0236351612</v>
      </c>
      <c r="E21" s="20">
        <f t="shared" si="4"/>
        <v>190695.73886483882</v>
      </c>
      <c r="F21" s="20">
        <f t="shared" si="0"/>
        <v>63003.32963301055</v>
      </c>
      <c r="G21" s="20"/>
      <c r="H21" s="20"/>
      <c r="I21" s="17"/>
      <c r="J21" s="17"/>
      <c r="K21" s="56">
        <f t="shared" si="5"/>
        <v>63003.32963301055</v>
      </c>
      <c r="L21" s="20"/>
      <c r="M21" s="20">
        <f t="shared" si="1"/>
        <v>4665.291767973493</v>
      </c>
      <c r="N21" s="23">
        <f t="shared" si="6"/>
        <v>223178.34700010048</v>
      </c>
    </row>
    <row r="22" spans="1:14" ht="12.75">
      <c r="A22" s="45">
        <v>6</v>
      </c>
      <c r="B22" s="19">
        <f>iWoTab!P21</f>
        <v>422936.35182135407</v>
      </c>
      <c r="C22" s="20">
        <f t="shared" si="2"/>
        <v>3828415.897472077</v>
      </c>
      <c r="D22" s="20">
        <f t="shared" si="3"/>
        <v>172278.71538624345</v>
      </c>
      <c r="E22" s="20">
        <f t="shared" si="4"/>
        <v>199277.04711375656</v>
      </c>
      <c r="F22" s="20">
        <f t="shared" si="0"/>
        <v>51380.589321354055</v>
      </c>
      <c r="G22" s="20"/>
      <c r="H22" s="20"/>
      <c r="I22" s="17"/>
      <c r="J22" s="17"/>
      <c r="K22" s="56">
        <f t="shared" si="5"/>
        <v>51380.589321354055</v>
      </c>
      <c r="L22" s="20"/>
      <c r="M22" s="20">
        <f t="shared" si="1"/>
        <v>6695.350410003014</v>
      </c>
      <c r="N22" s="23">
        <f t="shared" si="6"/>
        <v>281254.28673145757</v>
      </c>
    </row>
    <row r="23" spans="1:14" ht="12.75">
      <c r="A23" s="45">
        <v>7</v>
      </c>
      <c r="B23" s="19">
        <f>iWoTab!P22</f>
        <v>443290.46173406165</v>
      </c>
      <c r="C23" s="20">
        <f t="shared" si="2"/>
        <v>3629138.8503583204</v>
      </c>
      <c r="D23" s="20">
        <f t="shared" si="3"/>
        <v>163311.2482661244</v>
      </c>
      <c r="E23" s="20">
        <f t="shared" si="4"/>
        <v>208244.5142338756</v>
      </c>
      <c r="F23" s="20">
        <f t="shared" si="0"/>
        <v>71734.69923406164</v>
      </c>
      <c r="G23" s="20"/>
      <c r="H23" s="20"/>
      <c r="I23" s="17"/>
      <c r="J23" s="17"/>
      <c r="K23" s="56">
        <f t="shared" si="5"/>
        <v>71734.69923406164</v>
      </c>
      <c r="L23" s="20"/>
      <c r="M23" s="20">
        <f t="shared" si="1"/>
        <v>8437.628601943727</v>
      </c>
      <c r="N23" s="23">
        <f t="shared" si="6"/>
        <v>361426.61456746294</v>
      </c>
    </row>
    <row r="24" spans="1:14" ht="12.75">
      <c r="A24" s="45">
        <v>8</v>
      </c>
      <c r="B24" s="19">
        <f>iWoTab!P23</f>
        <v>432113.44310611504</v>
      </c>
      <c r="C24" s="20">
        <f t="shared" si="2"/>
        <v>3420894.336124445</v>
      </c>
      <c r="D24" s="20">
        <f t="shared" si="3"/>
        <v>153940.24512560002</v>
      </c>
      <c r="E24" s="20">
        <f t="shared" si="4"/>
        <v>217615.5173744</v>
      </c>
      <c r="F24" s="20">
        <f t="shared" si="0"/>
        <v>60557.68060611503</v>
      </c>
      <c r="G24" s="20"/>
      <c r="H24" s="20"/>
      <c r="I24" s="17"/>
      <c r="J24" s="17"/>
      <c r="K24" s="56">
        <f t="shared" si="5"/>
        <v>60557.68060611503</v>
      </c>
      <c r="L24" s="20"/>
      <c r="M24" s="20">
        <f t="shared" si="1"/>
        <v>10842.798437023888</v>
      </c>
      <c r="N24" s="23">
        <f t="shared" si="6"/>
        <v>432827.09361060185</v>
      </c>
    </row>
    <row r="25" spans="1:14" ht="12.75">
      <c r="A25" s="45">
        <v>9</v>
      </c>
      <c r="B25" s="19">
        <f>iWoTab!P24</f>
        <v>451896.41772782453</v>
      </c>
      <c r="C25" s="20">
        <f t="shared" si="2"/>
        <v>3203278.818750045</v>
      </c>
      <c r="D25" s="20">
        <f t="shared" si="3"/>
        <v>144147.546843752</v>
      </c>
      <c r="E25" s="20">
        <f t="shared" si="4"/>
        <v>227408.215656248</v>
      </c>
      <c r="F25" s="20">
        <f t="shared" si="0"/>
        <v>80340.65522782449</v>
      </c>
      <c r="G25" s="20"/>
      <c r="H25" s="20"/>
      <c r="I25" s="17"/>
      <c r="J25" s="17"/>
      <c r="K25" s="56">
        <f t="shared" si="5"/>
        <v>80340.65522782449</v>
      </c>
      <c r="L25" s="20"/>
      <c r="M25" s="20">
        <f t="shared" si="1"/>
        <v>12984.812808318055</v>
      </c>
      <c r="N25" s="23">
        <f t="shared" si="6"/>
        <v>526152.5616467444</v>
      </c>
    </row>
    <row r="26" spans="1:14" ht="12.75">
      <c r="A26" s="46">
        <v>10</v>
      </c>
      <c r="B26" s="47">
        <f>iWoTab!P25</f>
        <v>411129.51286108955</v>
      </c>
      <c r="C26" s="48">
        <f t="shared" si="2"/>
        <v>2975870.603093797</v>
      </c>
      <c r="D26" s="48">
        <f t="shared" si="3"/>
        <v>133914.17713922085</v>
      </c>
      <c r="E26" s="51">
        <f t="shared" si="4"/>
        <v>237641.58536077917</v>
      </c>
      <c r="F26" s="48">
        <f t="shared" si="0"/>
        <v>39573.75036108951</v>
      </c>
      <c r="G26" s="48"/>
      <c r="H26" s="48"/>
      <c r="I26" s="49"/>
      <c r="J26" s="49"/>
      <c r="K26" s="57">
        <f t="shared" si="5"/>
        <v>39573.75036108951</v>
      </c>
      <c r="L26" s="48"/>
      <c r="M26" s="48">
        <f t="shared" si="1"/>
        <v>15784.57684940233</v>
      </c>
      <c r="N26" s="58">
        <f t="shared" si="6"/>
        <v>581510.8888572361</v>
      </c>
    </row>
    <row r="27" spans="1:14" ht="12.75">
      <c r="A27" s="45">
        <v>11</v>
      </c>
      <c r="B27" s="22">
        <f>iWoTab!P26</f>
        <v>452371.90388850024</v>
      </c>
      <c r="C27" s="59">
        <f>C26-E26+L27</f>
        <v>2156718.128875782</v>
      </c>
      <c r="D27" s="59">
        <f>C27*($D$6/100)</f>
        <v>129403.0877325469</v>
      </c>
      <c r="E27" s="59">
        <f t="shared" si="4"/>
        <v>242152.6747674531</v>
      </c>
      <c r="F27" s="59">
        <f t="shared" si="0"/>
        <v>80816.14138850023</v>
      </c>
      <c r="G27" s="4"/>
      <c r="H27" s="20"/>
      <c r="I27" s="17"/>
      <c r="J27" s="17"/>
      <c r="K27" s="60">
        <f>F27</f>
        <v>80816.14138850023</v>
      </c>
      <c r="L27" s="1">
        <f>N26*(-1)</f>
        <v>-581510.8888572361</v>
      </c>
      <c r="M27" s="51">
        <f aca="true" t="shared" si="7" ref="M27:M36">N26*($D$10/100)</f>
        <v>26167.989998575624</v>
      </c>
      <c r="N27" s="51">
        <f>N26+K27+L27+M27</f>
        <v>106984.13138707585</v>
      </c>
    </row>
    <row r="28" spans="1:14" ht="12.75">
      <c r="A28" s="45">
        <v>12</v>
      </c>
      <c r="B28" s="22">
        <f>iWoTab!P27</f>
        <v>458488.51769345935</v>
      </c>
      <c r="C28" s="51">
        <f>C27-E27</f>
        <v>1914565.4541083286</v>
      </c>
      <c r="D28" s="51">
        <f>C28*($D$6/100)</f>
        <v>114873.9272464997</v>
      </c>
      <c r="E28" s="51">
        <f t="shared" si="4"/>
        <v>256681.83525350032</v>
      </c>
      <c r="F28" s="51">
        <f t="shared" si="0"/>
        <v>86932.75519345934</v>
      </c>
      <c r="G28" s="4"/>
      <c r="H28" s="20"/>
      <c r="I28" s="17"/>
      <c r="J28" s="17"/>
      <c r="K28" s="60">
        <f aca="true" t="shared" si="8" ref="K28:K36">F28</f>
        <v>86932.75519345934</v>
      </c>
      <c r="L28" s="1"/>
      <c r="M28" s="51">
        <f t="shared" si="7"/>
        <v>4814.285912418413</v>
      </c>
      <c r="N28" s="51">
        <f t="shared" si="6"/>
        <v>198731.1724929536</v>
      </c>
    </row>
    <row r="29" spans="1:14" ht="12.75">
      <c r="A29" s="45">
        <v>13</v>
      </c>
      <c r="B29" s="22">
        <f>iWoTab!P28</f>
        <v>459465.08387725975</v>
      </c>
      <c r="C29" s="51">
        <f aca="true" t="shared" si="9" ref="C29:C35">C28-E28</f>
        <v>1657883.6188548282</v>
      </c>
      <c r="D29" s="51">
        <f>C29*($D$6/100)</f>
        <v>99473.01713128969</v>
      </c>
      <c r="E29" s="51">
        <f t="shared" si="4"/>
        <v>272082.7453687103</v>
      </c>
      <c r="F29" s="51">
        <f t="shared" si="0"/>
        <v>87909.32137725974</v>
      </c>
      <c r="G29" s="4"/>
      <c r="H29" s="20"/>
      <c r="I29" s="17"/>
      <c r="J29" s="17"/>
      <c r="K29" s="60">
        <f t="shared" si="8"/>
        <v>87909.32137725974</v>
      </c>
      <c r="L29" s="1"/>
      <c r="M29" s="51">
        <f t="shared" si="7"/>
        <v>8942.902762182912</v>
      </c>
      <c r="N29" s="51">
        <f t="shared" si="6"/>
        <v>295583.39663239627</v>
      </c>
    </row>
    <row r="30" spans="1:14" ht="12.75">
      <c r="A30" s="45">
        <v>14</v>
      </c>
      <c r="B30" s="22">
        <f>iWoTab!P29</f>
        <v>410285.83673817466</v>
      </c>
      <c r="C30" s="51">
        <f t="shared" si="9"/>
        <v>1385800.873486118</v>
      </c>
      <c r="D30" s="51">
        <f aca="true" t="shared" si="10" ref="D30:D35">C30*($D$6/100)</f>
        <v>83148.05240916707</v>
      </c>
      <c r="E30" s="51">
        <f t="shared" si="4"/>
        <v>288407.71009083296</v>
      </c>
      <c r="F30" s="51">
        <f t="shared" si="0"/>
        <v>38730.07423817465</v>
      </c>
      <c r="G30" s="4"/>
      <c r="H30" s="20"/>
      <c r="I30" s="17"/>
      <c r="J30" s="17"/>
      <c r="K30" s="60">
        <f t="shared" si="8"/>
        <v>38730.07423817465</v>
      </c>
      <c r="L30" s="1"/>
      <c r="M30" s="51">
        <f t="shared" si="7"/>
        <v>13301.25284845783</v>
      </c>
      <c r="N30" s="51">
        <f t="shared" si="6"/>
        <v>347614.72371902876</v>
      </c>
    </row>
    <row r="31" spans="1:14" ht="12.75">
      <c r="A31" s="45">
        <v>15</v>
      </c>
      <c r="B31" s="22">
        <f>iWoTab!P30</f>
        <v>460933.3584726049</v>
      </c>
      <c r="C31" s="51">
        <f t="shared" si="9"/>
        <v>1097393.163395285</v>
      </c>
      <c r="D31" s="51">
        <f t="shared" si="10"/>
        <v>65843.5898037171</v>
      </c>
      <c r="E31" s="51">
        <f t="shared" si="4"/>
        <v>305712.1726962829</v>
      </c>
      <c r="F31" s="51">
        <f t="shared" si="0"/>
        <v>89377.59597260487</v>
      </c>
      <c r="G31" s="4"/>
      <c r="H31" s="20"/>
      <c r="I31" s="17"/>
      <c r="J31" s="17"/>
      <c r="K31" s="60">
        <f t="shared" si="8"/>
        <v>89377.59597260487</v>
      </c>
      <c r="L31" s="1"/>
      <c r="M31" s="51">
        <f t="shared" si="7"/>
        <v>15642.662567356294</v>
      </c>
      <c r="N31" s="51">
        <f t="shared" si="6"/>
        <v>452634.98225898994</v>
      </c>
    </row>
    <row r="32" spans="1:14" ht="12.75">
      <c r="A32" s="45">
        <v>16</v>
      </c>
      <c r="B32" s="22">
        <f>iWoTab!P31</f>
        <v>458369.59697712556</v>
      </c>
      <c r="C32" s="51">
        <f t="shared" si="9"/>
        <v>791680.990699002</v>
      </c>
      <c r="D32" s="51">
        <f t="shared" si="10"/>
        <v>47500.85944194012</v>
      </c>
      <c r="E32" s="51">
        <f t="shared" si="4"/>
        <v>324054.90305805986</v>
      </c>
      <c r="F32" s="51">
        <f t="shared" si="0"/>
        <v>86813.83447712555</v>
      </c>
      <c r="H32" s="20"/>
      <c r="I32" s="17"/>
      <c r="J32" s="17"/>
      <c r="K32" s="60">
        <f t="shared" si="8"/>
        <v>86813.83447712555</v>
      </c>
      <c r="L32" s="2"/>
      <c r="M32" s="51">
        <f t="shared" si="7"/>
        <v>20368.57420165455</v>
      </c>
      <c r="N32" s="51">
        <f t="shared" si="6"/>
        <v>559817.39093777</v>
      </c>
    </row>
    <row r="33" spans="1:14" ht="12.75">
      <c r="A33" s="45">
        <v>17</v>
      </c>
      <c r="B33" s="22">
        <f>iWoTab!P32</f>
        <v>415573.98837100936</v>
      </c>
      <c r="C33" s="51">
        <f t="shared" si="9"/>
        <v>467626.0876409422</v>
      </c>
      <c r="D33" s="51">
        <f t="shared" si="10"/>
        <v>28057.56525845653</v>
      </c>
      <c r="E33" s="51">
        <f t="shared" si="4"/>
        <v>343498.1972415435</v>
      </c>
      <c r="F33" s="51">
        <f t="shared" si="0"/>
        <v>44018.225871009345</v>
      </c>
      <c r="H33" s="20"/>
      <c r="I33" s="17"/>
      <c r="J33" s="17"/>
      <c r="K33" s="60">
        <f t="shared" si="8"/>
        <v>44018.225871009345</v>
      </c>
      <c r="M33" s="51">
        <f t="shared" si="7"/>
        <v>25191.78259219965</v>
      </c>
      <c r="N33" s="51">
        <f t="shared" si="6"/>
        <v>629027.3994009789</v>
      </c>
    </row>
    <row r="34" spans="1:14" ht="12.75">
      <c r="A34" s="45">
        <v>18</v>
      </c>
      <c r="B34" s="22">
        <f>iWoTab!P33</f>
        <v>420522.9356645673</v>
      </c>
      <c r="C34" s="51">
        <f t="shared" si="9"/>
        <v>124127.89039939869</v>
      </c>
      <c r="D34" s="51">
        <f t="shared" si="10"/>
        <v>7447.673423963921</v>
      </c>
      <c r="E34" s="51">
        <f>C34</f>
        <v>124127.89039939869</v>
      </c>
      <c r="F34" s="51">
        <f t="shared" si="0"/>
        <v>288947.37184120464</v>
      </c>
      <c r="H34" s="20"/>
      <c r="I34" s="17"/>
      <c r="J34" s="17"/>
      <c r="K34" s="60">
        <f t="shared" si="8"/>
        <v>288947.37184120464</v>
      </c>
      <c r="M34" s="51">
        <f t="shared" si="7"/>
        <v>28306.23297304405</v>
      </c>
      <c r="N34" s="51">
        <f t="shared" si="6"/>
        <v>946281.0042152277</v>
      </c>
    </row>
    <row r="35" spans="1:14" ht="12.75">
      <c r="A35" s="45">
        <v>19</v>
      </c>
      <c r="B35" s="22">
        <f>iWoTab!P34</f>
        <v>434190.37912333146</v>
      </c>
      <c r="C35" s="51">
        <f t="shared" si="9"/>
        <v>0</v>
      </c>
      <c r="D35" s="51">
        <f t="shared" si="10"/>
        <v>0</v>
      </c>
      <c r="E35" s="51">
        <v>0</v>
      </c>
      <c r="F35" s="51">
        <f t="shared" si="0"/>
        <v>434190.37912333146</v>
      </c>
      <c r="H35" s="20"/>
      <c r="I35" s="17"/>
      <c r="J35" s="17"/>
      <c r="K35" s="60">
        <f t="shared" si="8"/>
        <v>434190.37912333146</v>
      </c>
      <c r="M35" s="51">
        <f t="shared" si="7"/>
        <v>42582.645189685245</v>
      </c>
      <c r="N35" s="51">
        <f t="shared" si="6"/>
        <v>1423054.0285282445</v>
      </c>
    </row>
    <row r="36" spans="1:14" ht="12.75">
      <c r="A36" s="45">
        <v>20</v>
      </c>
      <c r="B36" s="22">
        <f>iWoTab!P35</f>
        <v>6818312.0244689</v>
      </c>
      <c r="C36" s="51">
        <v>0</v>
      </c>
      <c r="D36" s="51">
        <v>0</v>
      </c>
      <c r="E36" s="51">
        <v>0</v>
      </c>
      <c r="F36" s="51">
        <f t="shared" si="0"/>
        <v>6818312.0244689</v>
      </c>
      <c r="H36" s="43"/>
      <c r="I36" s="17"/>
      <c r="J36" s="17"/>
      <c r="K36" s="60">
        <f t="shared" si="8"/>
        <v>6818312.0244689</v>
      </c>
      <c r="M36" s="51">
        <f t="shared" si="7"/>
        <v>64037.431283771</v>
      </c>
      <c r="N36" s="61">
        <f t="shared" si="6"/>
        <v>8305403.484280915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zoomScale="130" zoomScaleNormal="130" workbookViewId="0" topLeftCell="A1">
      <selection activeCell="B24" sqref="B24"/>
    </sheetView>
  </sheetViews>
  <sheetFormatPr defaultColWidth="11.421875" defaultRowHeight="12.75"/>
  <cols>
    <col min="1" max="1" width="4.7109375" style="0" customWidth="1"/>
    <col min="2" max="3" width="10.140625" style="0" customWidth="1"/>
    <col min="4" max="4" width="9.7109375" style="0" customWidth="1"/>
    <col min="5" max="5" width="10.57421875" style="0" customWidth="1"/>
    <col min="6" max="6" width="15.28125" style="0" bestFit="1" customWidth="1"/>
    <col min="7" max="7" width="9.8515625" style="0" customWidth="1"/>
    <col min="8" max="8" width="7.28125" style="0" customWidth="1"/>
  </cols>
  <sheetData>
    <row r="2" spans="1:2" ht="12.75">
      <c r="A2" s="9" t="s">
        <v>128</v>
      </c>
      <c r="B2" s="9"/>
    </row>
    <row r="3" spans="1:8" ht="15.75">
      <c r="A3" s="3" t="s">
        <v>0</v>
      </c>
      <c r="B3" s="3" t="s">
        <v>206</v>
      </c>
      <c r="C3" s="3" t="s">
        <v>11</v>
      </c>
      <c r="D3" s="3" t="s">
        <v>12</v>
      </c>
      <c r="E3" s="3" t="s">
        <v>7</v>
      </c>
      <c r="F3" s="3" t="s">
        <v>1</v>
      </c>
      <c r="G3" s="3" t="s">
        <v>8</v>
      </c>
      <c r="H3" s="3" t="s">
        <v>34</v>
      </c>
    </row>
    <row r="4" spans="1:7" ht="12.75">
      <c r="A4" s="3">
        <v>0</v>
      </c>
      <c r="B4" s="6">
        <v>-9000000</v>
      </c>
      <c r="C4" s="6"/>
      <c r="D4" s="6"/>
      <c r="E4" s="6">
        <f>B4+C4+D4</f>
        <v>-9000000</v>
      </c>
      <c r="F4" s="4">
        <v>1</v>
      </c>
      <c r="G4" s="1">
        <f>E4*F4</f>
        <v>-9000000</v>
      </c>
    </row>
    <row r="5" spans="1:7" ht="12.75">
      <c r="A5" s="3">
        <v>1</v>
      </c>
      <c r="B5" s="3"/>
      <c r="C5" s="6">
        <v>761177.8</v>
      </c>
      <c r="D5" s="6">
        <v>-250000</v>
      </c>
      <c r="E5" s="6">
        <f aca="true" t="shared" si="0" ref="E5:E10">B5+C5+D5</f>
        <v>511177.80000000005</v>
      </c>
      <c r="F5" s="4">
        <f aca="true" t="shared" si="1" ref="F5:F10">1/(1.1^A5)</f>
        <v>0.9090909090909091</v>
      </c>
      <c r="G5" s="1">
        <f aca="true" t="shared" si="2" ref="G5:G10">E5*F5</f>
        <v>464707.09090909094</v>
      </c>
    </row>
    <row r="6" spans="1:7" ht="12.75">
      <c r="A6" s="3">
        <v>2</v>
      </c>
      <c r="B6" s="3"/>
      <c r="C6" s="6">
        <f>$C$5</f>
        <v>761177.8</v>
      </c>
      <c r="D6" s="6">
        <v>-250000</v>
      </c>
      <c r="E6" s="6">
        <f t="shared" si="0"/>
        <v>511177.80000000005</v>
      </c>
      <c r="F6" s="4">
        <f t="shared" si="1"/>
        <v>0.8264462809917354</v>
      </c>
      <c r="G6" s="1">
        <f t="shared" si="2"/>
        <v>422460.9917355372</v>
      </c>
    </row>
    <row r="7" spans="1:7" ht="12.75">
      <c r="A7" s="3">
        <v>3</v>
      </c>
      <c r="B7" s="3"/>
      <c r="C7" s="6">
        <f>$C$5</f>
        <v>761177.8</v>
      </c>
      <c r="D7" s="6">
        <v>-250000</v>
      </c>
      <c r="E7" s="6">
        <f t="shared" si="0"/>
        <v>511177.80000000005</v>
      </c>
      <c r="F7" s="4">
        <f t="shared" si="1"/>
        <v>0.7513148009015775</v>
      </c>
      <c r="G7" s="1">
        <f t="shared" si="2"/>
        <v>384055.44703230646</v>
      </c>
    </row>
    <row r="8" spans="1:7" ht="12.75">
      <c r="A8" s="3">
        <v>4</v>
      </c>
      <c r="B8" s="3"/>
      <c r="C8" s="6">
        <f>$C$5</f>
        <v>761177.8</v>
      </c>
      <c r="D8" s="6">
        <v>-250000</v>
      </c>
      <c r="E8" s="6">
        <f t="shared" si="0"/>
        <v>511177.80000000005</v>
      </c>
      <c r="F8" s="4">
        <f t="shared" si="1"/>
        <v>0.6830134553650705</v>
      </c>
      <c r="G8" s="1">
        <f t="shared" si="2"/>
        <v>349141.315483915</v>
      </c>
    </row>
    <row r="9" spans="1:7" ht="12.75">
      <c r="A9" s="3">
        <v>5</v>
      </c>
      <c r="B9" s="3"/>
      <c r="C9" s="6">
        <f>$C$5</f>
        <v>761177.8</v>
      </c>
      <c r="D9" s="6">
        <v>-250000</v>
      </c>
      <c r="E9" s="6">
        <f t="shared" si="0"/>
        <v>511177.80000000005</v>
      </c>
      <c r="F9" s="4">
        <f t="shared" si="1"/>
        <v>0.6209213230591549</v>
      </c>
      <c r="G9" s="1">
        <f t="shared" si="2"/>
        <v>317401.1958944681</v>
      </c>
    </row>
    <row r="10" spans="1:7" ht="12.75">
      <c r="A10" s="3">
        <v>6</v>
      </c>
      <c r="B10" s="6">
        <v>12000000</v>
      </c>
      <c r="C10" s="6">
        <f>$C$5</f>
        <v>761177.8</v>
      </c>
      <c r="D10" s="6">
        <v>-250000</v>
      </c>
      <c r="E10" s="6">
        <f t="shared" si="0"/>
        <v>12511177.8</v>
      </c>
      <c r="F10" s="4">
        <f t="shared" si="1"/>
        <v>0.5644739300537772</v>
      </c>
      <c r="G10" s="1">
        <f t="shared" si="2"/>
        <v>7062233.702367571</v>
      </c>
    </row>
    <row r="11" spans="7:8" ht="12.75">
      <c r="G11" s="2">
        <f>SUM(G4:G10)</f>
        <v>-0.2565771108493209</v>
      </c>
      <c r="H11" s="24">
        <f>IRR(E4:E10)</f>
        <v>0.09999999409782341</v>
      </c>
    </row>
    <row r="15" spans="1:2" ht="12.75">
      <c r="A15" s="9" t="s">
        <v>207</v>
      </c>
      <c r="B15" s="9"/>
    </row>
    <row r="16" spans="1:8" ht="15.75">
      <c r="A16" s="3" t="s">
        <v>0</v>
      </c>
      <c r="B16" s="3" t="s">
        <v>206</v>
      </c>
      <c r="C16" s="3" t="s">
        <v>11</v>
      </c>
      <c r="D16" s="3" t="s">
        <v>12</v>
      </c>
      <c r="E16" s="3" t="s">
        <v>7</v>
      </c>
      <c r="F16" s="3" t="s">
        <v>1</v>
      </c>
      <c r="G16" s="3" t="s">
        <v>8</v>
      </c>
      <c r="H16" s="3" t="s">
        <v>34</v>
      </c>
    </row>
    <row r="17" spans="1:7" ht="12.75">
      <c r="A17" s="3">
        <v>0</v>
      </c>
      <c r="B17" s="6">
        <v>-9000000</v>
      </c>
      <c r="C17" s="6"/>
      <c r="D17" s="6"/>
      <c r="E17" s="6">
        <f>B17+C17+D17</f>
        <v>-9000000</v>
      </c>
      <c r="F17" s="4">
        <v>1</v>
      </c>
      <c r="G17" s="1">
        <f>E17*F17</f>
        <v>-9000000</v>
      </c>
    </row>
    <row r="18" spans="1:7" ht="12.75">
      <c r="A18" s="3">
        <v>1</v>
      </c>
      <c r="B18" s="3"/>
      <c r="C18" s="6">
        <v>1000000</v>
      </c>
      <c r="D18" s="6">
        <v>-250000</v>
      </c>
      <c r="E18" s="6">
        <f aca="true" t="shared" si="3" ref="E18:E23">B18+C18+D18</f>
        <v>750000</v>
      </c>
      <c r="F18" s="4">
        <f aca="true" t="shared" si="4" ref="F18:F23">1/(1.1^A18)</f>
        <v>0.9090909090909091</v>
      </c>
      <c r="G18" s="1">
        <f aca="true" t="shared" si="5" ref="G18:G23">E18*F18</f>
        <v>681818.1818181818</v>
      </c>
    </row>
    <row r="19" spans="1:7" ht="12.75">
      <c r="A19" s="3">
        <v>2</v>
      </c>
      <c r="B19" s="3"/>
      <c r="C19" s="6">
        <v>1000000</v>
      </c>
      <c r="D19" s="6">
        <v>-250000</v>
      </c>
      <c r="E19" s="6">
        <f t="shared" si="3"/>
        <v>750000</v>
      </c>
      <c r="F19" s="4">
        <f t="shared" si="4"/>
        <v>0.8264462809917354</v>
      </c>
      <c r="G19" s="1">
        <f t="shared" si="5"/>
        <v>619834.7107438016</v>
      </c>
    </row>
    <row r="20" spans="1:7" ht="12.75">
      <c r="A20" s="3">
        <v>3</v>
      </c>
      <c r="B20" s="3"/>
      <c r="C20" s="6">
        <v>1000000</v>
      </c>
      <c r="D20" s="6">
        <v>-250000</v>
      </c>
      <c r="E20" s="6">
        <f t="shared" si="3"/>
        <v>750000</v>
      </c>
      <c r="F20" s="4">
        <f t="shared" si="4"/>
        <v>0.7513148009015775</v>
      </c>
      <c r="G20" s="1">
        <f t="shared" si="5"/>
        <v>563486.1006761831</v>
      </c>
    </row>
    <row r="21" spans="1:7" ht="12.75">
      <c r="A21" s="3">
        <v>4</v>
      </c>
      <c r="B21" s="3"/>
      <c r="C21" s="6">
        <v>1200000</v>
      </c>
      <c r="D21" s="6">
        <v>-250000</v>
      </c>
      <c r="E21" s="6">
        <f t="shared" si="3"/>
        <v>950000</v>
      </c>
      <c r="F21" s="4">
        <f t="shared" si="4"/>
        <v>0.6830134553650705</v>
      </c>
      <c r="G21" s="1">
        <f t="shared" si="5"/>
        <v>648862.782596817</v>
      </c>
    </row>
    <row r="22" spans="1:7" ht="12.75">
      <c r="A22" s="3">
        <v>5</v>
      </c>
      <c r="B22" s="3"/>
      <c r="C22" s="6">
        <v>1200000</v>
      </c>
      <c r="D22" s="6">
        <v>-250000</v>
      </c>
      <c r="E22" s="6">
        <f t="shared" si="3"/>
        <v>950000</v>
      </c>
      <c r="F22" s="4">
        <f t="shared" si="4"/>
        <v>0.6209213230591549</v>
      </c>
      <c r="G22" s="1">
        <f t="shared" si="5"/>
        <v>589875.2569061972</v>
      </c>
    </row>
    <row r="23" spans="1:7" ht="12.75">
      <c r="A23" s="3">
        <v>6</v>
      </c>
      <c r="B23" s="6">
        <v>9495342</v>
      </c>
      <c r="C23" s="6">
        <v>1200000</v>
      </c>
      <c r="D23" s="6">
        <v>-250000</v>
      </c>
      <c r="E23" s="6">
        <f t="shared" si="3"/>
        <v>10445342</v>
      </c>
      <c r="F23" s="4">
        <f t="shared" si="4"/>
        <v>0.5644739300537772</v>
      </c>
      <c r="G23" s="1">
        <f t="shared" si="5"/>
        <v>5896123.249495781</v>
      </c>
    </row>
    <row r="24" spans="7:8" ht="12.75">
      <c r="G24" s="2">
        <f>SUM(G17:G23)</f>
        <v>0.28223696164786816</v>
      </c>
      <c r="H24" s="24">
        <f>IRR(E17:E23)</f>
        <v>0.10000000697139418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="135" zoomScaleNormal="135" workbookViewId="0" topLeftCell="A9">
      <selection activeCell="E12" sqref="E12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5.8515625" style="0" customWidth="1"/>
    <col min="6" max="6" width="13.140625" style="0" customWidth="1"/>
    <col min="7" max="7" width="13.00390625" style="0" customWidth="1"/>
    <col min="11" max="11" width="17.57421875" style="0" bestFit="1" customWidth="1"/>
    <col min="12" max="12" width="20.28125" style="0" bestFit="1" customWidth="1"/>
  </cols>
  <sheetData>
    <row r="2" ht="12.75">
      <c r="A2" s="9" t="s">
        <v>13</v>
      </c>
    </row>
    <row r="3" spans="1:6" ht="12.75">
      <c r="A3" t="s">
        <v>14</v>
      </c>
      <c r="C3" s="10">
        <v>5</v>
      </c>
      <c r="D3" s="10"/>
      <c r="E3" s="10"/>
      <c r="F3" s="10"/>
    </row>
    <row r="4" spans="1:6" ht="12.75">
      <c r="A4" t="s">
        <v>15</v>
      </c>
      <c r="C4" s="10">
        <v>3</v>
      </c>
      <c r="D4" s="10"/>
      <c r="E4" s="10"/>
      <c r="F4" s="10"/>
    </row>
    <row r="5" spans="1:6" ht="12.75">
      <c r="A5" t="s">
        <v>16</v>
      </c>
      <c r="C5" s="10">
        <v>10</v>
      </c>
      <c r="D5" s="10"/>
      <c r="E5" s="10"/>
      <c r="F5" s="10"/>
    </row>
    <row r="6" spans="1:6" ht="12.75">
      <c r="A6" t="s">
        <v>17</v>
      </c>
      <c r="C6" s="1">
        <v>4500000</v>
      </c>
      <c r="D6" s="1"/>
      <c r="E6" s="1"/>
      <c r="F6" s="1"/>
    </row>
    <row r="7" ht="12.75">
      <c r="A7" t="s">
        <v>18</v>
      </c>
    </row>
    <row r="8" spans="1:3" ht="12.75">
      <c r="A8" t="s">
        <v>19</v>
      </c>
      <c r="C8" s="21" t="s">
        <v>33</v>
      </c>
    </row>
    <row r="11" spans="1:10" ht="12.75">
      <c r="A11" s="3" t="s">
        <v>0</v>
      </c>
      <c r="B11" s="3" t="s">
        <v>7</v>
      </c>
      <c r="C11" s="3" t="s">
        <v>23</v>
      </c>
      <c r="D11" s="3" t="s">
        <v>22</v>
      </c>
      <c r="E11" s="3" t="s">
        <v>24</v>
      </c>
      <c r="F11" s="3"/>
      <c r="H11" s="3"/>
      <c r="I11" s="3"/>
      <c r="J11" s="3"/>
    </row>
    <row r="12" spans="1:10" ht="12.75">
      <c r="A12" s="7">
        <v>0</v>
      </c>
      <c r="B12" s="19">
        <v>-9000000</v>
      </c>
      <c r="C12" s="11">
        <v>6</v>
      </c>
      <c r="D12" s="12">
        <f>(1+C3/100)^C12</f>
        <v>1.340095640625</v>
      </c>
      <c r="E12" s="16">
        <f aca="true" t="shared" si="0" ref="E12:E18">B12*D12</f>
        <v>-12060860.765625</v>
      </c>
      <c r="F12" s="14"/>
      <c r="H12" s="3"/>
      <c r="I12" s="3"/>
      <c r="J12" s="3"/>
    </row>
    <row r="13" spans="1:11" ht="12.75">
      <c r="A13" s="7">
        <v>1</v>
      </c>
      <c r="B13" s="19">
        <v>750000</v>
      </c>
      <c r="C13" s="11">
        <v>5</v>
      </c>
      <c r="D13" s="12">
        <f>(1+C4/100)^C13</f>
        <v>1.1592740742999998</v>
      </c>
      <c r="E13" s="17">
        <f t="shared" si="0"/>
        <v>869455.5557249999</v>
      </c>
      <c r="F13" s="13"/>
      <c r="H13" s="3"/>
      <c r="I13" s="1"/>
      <c r="J13" s="1"/>
      <c r="K13" s="5"/>
    </row>
    <row r="14" spans="1:11" ht="12.75">
      <c r="A14" s="7">
        <v>2</v>
      </c>
      <c r="B14" s="19">
        <v>750000</v>
      </c>
      <c r="C14" s="11">
        <v>4</v>
      </c>
      <c r="D14" s="12">
        <f>(1+C4/100)^C14</f>
        <v>1.12550881</v>
      </c>
      <c r="E14" s="17">
        <f t="shared" si="0"/>
        <v>844131.6074999999</v>
      </c>
      <c r="F14" s="13"/>
      <c r="H14" s="3"/>
      <c r="I14" s="1"/>
      <c r="J14" s="1"/>
      <c r="K14" s="5"/>
    </row>
    <row r="15" spans="1:11" ht="12.75">
      <c r="A15" s="7">
        <v>3</v>
      </c>
      <c r="B15" s="19">
        <v>750000</v>
      </c>
      <c r="C15" s="11">
        <v>3</v>
      </c>
      <c r="D15" s="12">
        <f>(1+C4/100)^C15</f>
        <v>1.092727</v>
      </c>
      <c r="E15" s="17">
        <f t="shared" si="0"/>
        <v>819545.25</v>
      </c>
      <c r="F15" s="13"/>
      <c r="H15" s="3"/>
      <c r="I15" s="1"/>
      <c r="J15" s="1"/>
      <c r="K15" s="5"/>
    </row>
    <row r="16" spans="1:6" ht="12.75">
      <c r="A16" s="7">
        <v>4</v>
      </c>
      <c r="B16" s="19">
        <v>950000</v>
      </c>
      <c r="C16" s="11">
        <v>2</v>
      </c>
      <c r="D16" s="12">
        <f>(1+C4/100)^C16</f>
        <v>1.0609</v>
      </c>
      <c r="E16" s="17">
        <f t="shared" si="0"/>
        <v>1007855</v>
      </c>
      <c r="F16" s="13"/>
    </row>
    <row r="17" spans="1:6" ht="12.75">
      <c r="A17" s="7">
        <v>5</v>
      </c>
      <c r="B17" s="19">
        <v>950000</v>
      </c>
      <c r="C17" s="11">
        <v>1</v>
      </c>
      <c r="D17" s="12">
        <f>(1+C4/100)^C17</f>
        <v>1.03</v>
      </c>
      <c r="E17" s="17">
        <f t="shared" si="0"/>
        <v>978500</v>
      </c>
      <c r="F17" s="13"/>
    </row>
    <row r="18" spans="1:6" ht="12.75">
      <c r="A18" s="7">
        <v>6</v>
      </c>
      <c r="B18" s="19">
        <v>12950000</v>
      </c>
      <c r="C18" s="11">
        <v>0</v>
      </c>
      <c r="D18" s="12">
        <f>(1+C4/100)^C18</f>
        <v>1</v>
      </c>
      <c r="E18" s="17">
        <f t="shared" si="0"/>
        <v>12950000</v>
      </c>
      <c r="F18" s="13"/>
    </row>
    <row r="19" spans="5:7" ht="12.75">
      <c r="E19" s="18">
        <f>SUM(E12:E18)</f>
        <v>5408626.647600001</v>
      </c>
      <c r="G19" s="15"/>
    </row>
    <row r="22" spans="1:6" ht="12.75">
      <c r="A22" s="3" t="s">
        <v>0</v>
      </c>
      <c r="B22" s="3" t="s">
        <v>7</v>
      </c>
      <c r="C22" s="3" t="s">
        <v>23</v>
      </c>
      <c r="D22" s="3" t="s">
        <v>22</v>
      </c>
      <c r="E22" s="3" t="s">
        <v>24</v>
      </c>
      <c r="F22" s="3"/>
    </row>
    <row r="23" spans="1:6" ht="12.75">
      <c r="A23" s="7">
        <v>0</v>
      </c>
      <c r="B23" s="19">
        <v>-4500000</v>
      </c>
      <c r="C23" s="11">
        <v>15</v>
      </c>
      <c r="D23" s="12">
        <f>(1+C3/100)^C23</f>
        <v>2.078928179411368</v>
      </c>
      <c r="E23" s="17">
        <f aca="true" t="shared" si="1" ref="E23:E38">B23*D23</f>
        <v>-9355176.807351155</v>
      </c>
      <c r="F23" s="14"/>
    </row>
    <row r="24" spans="1:6" ht="12.75">
      <c r="A24" s="7">
        <v>1</v>
      </c>
      <c r="B24" s="19">
        <v>420000</v>
      </c>
      <c r="C24" s="11">
        <v>14</v>
      </c>
      <c r="D24" s="12">
        <f>(1+$C$4/100)^C24</f>
        <v>1.512589724855111</v>
      </c>
      <c r="E24" s="17">
        <f t="shared" si="1"/>
        <v>635287.6844391467</v>
      </c>
      <c r="F24" s="14"/>
    </row>
    <row r="25" spans="1:6" ht="12.75">
      <c r="A25" s="7">
        <v>2</v>
      </c>
      <c r="B25" s="19">
        <v>436750</v>
      </c>
      <c r="C25" s="11">
        <v>13</v>
      </c>
      <c r="D25" s="12">
        <f>(1+$C$4/100)^C25</f>
        <v>1.468533713451564</v>
      </c>
      <c r="E25" s="17">
        <f t="shared" si="1"/>
        <v>641382.0993499706</v>
      </c>
      <c r="F25" s="14"/>
    </row>
    <row r="26" spans="1:6" ht="12.75">
      <c r="A26" s="7">
        <v>3</v>
      </c>
      <c r="B26" s="19">
        <v>454153.1250000001</v>
      </c>
      <c r="C26" s="11">
        <v>12</v>
      </c>
      <c r="D26" s="12">
        <f aca="true" t="shared" si="2" ref="D26:D38">(1+$C$4/100)^C26</f>
        <v>1.4257608868461786</v>
      </c>
      <c r="E26" s="17">
        <f t="shared" si="1"/>
        <v>647513.7622639636</v>
      </c>
      <c r="F26" s="14"/>
    </row>
    <row r="27" spans="1:6" ht="12.75">
      <c r="A27" s="7">
        <v>4</v>
      </c>
      <c r="B27" s="19">
        <v>472234.4921875001</v>
      </c>
      <c r="C27" s="11">
        <v>11</v>
      </c>
      <c r="D27" s="12">
        <f t="shared" si="2"/>
        <v>1.3842338707244455</v>
      </c>
      <c r="E27" s="17">
        <f t="shared" si="1"/>
        <v>653682.9790102962</v>
      </c>
      <c r="F27" s="14"/>
    </row>
    <row r="28" spans="1:6" ht="12.75">
      <c r="A28" s="7">
        <v>5</v>
      </c>
      <c r="B28" s="19">
        <v>491020.1762695314</v>
      </c>
      <c r="C28" s="11">
        <v>10</v>
      </c>
      <c r="D28" s="12">
        <f t="shared" si="2"/>
        <v>1.3439163793441218</v>
      </c>
      <c r="E28" s="17">
        <f t="shared" si="1"/>
        <v>659890.0574770612</v>
      </c>
      <c r="F28" s="14"/>
    </row>
    <row r="29" spans="1:6" ht="12.75">
      <c r="A29" s="7">
        <v>6</v>
      </c>
      <c r="B29" s="19">
        <v>510537.24577026383</v>
      </c>
      <c r="C29" s="11">
        <v>9</v>
      </c>
      <c r="D29" s="12">
        <f t="shared" si="2"/>
        <v>1.3047731838292445</v>
      </c>
      <c r="E29" s="17">
        <f t="shared" si="1"/>
        <v>666135.3076270806</v>
      </c>
      <c r="F29" s="14"/>
    </row>
    <row r="30" spans="1:6" ht="12.75">
      <c r="A30" s="7">
        <v>7</v>
      </c>
      <c r="B30" s="19">
        <v>530813.8006995394</v>
      </c>
      <c r="C30" s="11">
        <v>8</v>
      </c>
      <c r="D30" s="12">
        <f t="shared" si="2"/>
        <v>1.266770081387616</v>
      </c>
      <c r="E30" s="17">
        <f t="shared" si="1"/>
        <v>672419.0415138252</v>
      </c>
      <c r="F30" s="14"/>
    </row>
    <row r="31" spans="1:6" ht="12.75">
      <c r="A31" s="7">
        <v>8</v>
      </c>
      <c r="B31" s="19">
        <v>551879.011643985</v>
      </c>
      <c r="C31" s="11">
        <v>7</v>
      </c>
      <c r="D31" s="12">
        <f t="shared" si="2"/>
        <v>1.22987386542487</v>
      </c>
      <c r="E31" s="17">
        <f t="shared" si="1"/>
        <v>678741.5732974447</v>
      </c>
      <c r="F31" s="14"/>
    </row>
    <row r="32" spans="1:6" ht="12.75">
      <c r="A32" s="7">
        <v>9</v>
      </c>
      <c r="B32" s="19">
        <v>573763.1603343028</v>
      </c>
      <c r="C32" s="11">
        <v>6</v>
      </c>
      <c r="D32" s="12">
        <f t="shared" si="2"/>
        <v>1.194052296529</v>
      </c>
      <c r="E32" s="17">
        <f t="shared" si="1"/>
        <v>685103.2192609111</v>
      </c>
      <c r="F32" s="14"/>
    </row>
    <row r="33" spans="1:6" ht="12.75">
      <c r="A33" s="7">
        <v>10</v>
      </c>
      <c r="B33" s="19">
        <v>596497.6817443492</v>
      </c>
      <c r="C33" s="11">
        <v>5</v>
      </c>
      <c r="D33" s="12">
        <f t="shared" si="2"/>
        <v>1.1592740742999998</v>
      </c>
      <c r="E33" s="17">
        <f t="shared" si="1"/>
        <v>691504.2978262763</v>
      </c>
      <c r="F33" s="14"/>
    </row>
    <row r="34" spans="1:6" ht="12.75">
      <c r="A34" s="7">
        <v>11</v>
      </c>
      <c r="B34" s="22">
        <v>620115.20777971</v>
      </c>
      <c r="C34" s="11">
        <v>4</v>
      </c>
      <c r="D34" s="12">
        <f t="shared" si="2"/>
        <v>1.12550881</v>
      </c>
      <c r="E34" s="17">
        <f t="shared" si="1"/>
        <v>697945.129571044</v>
      </c>
      <c r="F34" s="2"/>
    </row>
    <row r="35" spans="1:7" ht="12.75">
      <c r="A35" s="7">
        <v>12</v>
      </c>
      <c r="B35" s="22">
        <v>644649.6126156454</v>
      </c>
      <c r="C35" s="11">
        <v>3</v>
      </c>
      <c r="D35" s="12">
        <f t="shared" si="2"/>
        <v>1.092727</v>
      </c>
      <c r="E35" s="17">
        <f t="shared" si="1"/>
        <v>704426.0372446564</v>
      </c>
      <c r="F35" s="4"/>
      <c r="G35" s="1"/>
    </row>
    <row r="36" spans="1:7" ht="12.75">
      <c r="A36" s="7">
        <v>13</v>
      </c>
      <c r="B36" s="22">
        <v>670136.0597465335</v>
      </c>
      <c r="C36" s="11">
        <v>2</v>
      </c>
      <c r="D36" s="12">
        <f t="shared" si="2"/>
        <v>1.0609</v>
      </c>
      <c r="E36" s="17">
        <f t="shared" si="1"/>
        <v>710947.3457850973</v>
      </c>
      <c r="F36" s="4"/>
      <c r="G36" s="1"/>
    </row>
    <row r="37" spans="1:7" ht="12.75">
      <c r="A37" s="7">
        <v>14</v>
      </c>
      <c r="B37" s="22">
        <v>696611.0508112749</v>
      </c>
      <c r="C37" s="11">
        <v>1</v>
      </c>
      <c r="D37" s="12">
        <f t="shared" si="2"/>
        <v>1.03</v>
      </c>
      <c r="E37" s="17">
        <f t="shared" si="1"/>
        <v>717509.3823356131</v>
      </c>
      <c r="F37" s="4"/>
      <c r="G37" s="1"/>
    </row>
    <row r="38" spans="1:7" ht="12.75">
      <c r="A38" s="7">
        <v>15</v>
      </c>
      <c r="B38" s="22">
        <v>8793031.820256263</v>
      </c>
      <c r="C38" s="11">
        <v>0</v>
      </c>
      <c r="D38" s="12">
        <f t="shared" si="2"/>
        <v>1</v>
      </c>
      <c r="E38" s="17">
        <f t="shared" si="1"/>
        <v>8793031.820256263</v>
      </c>
      <c r="F38" s="4"/>
      <c r="G38" s="1"/>
    </row>
    <row r="39" spans="5:7" ht="12.75">
      <c r="E39" s="15">
        <f>SUM(E23:E38)</f>
        <v>8900342.929907495</v>
      </c>
      <c r="G39" s="2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39"/>
  <sheetViews>
    <sheetView zoomScale="135" zoomScaleNormal="135" workbookViewId="0" topLeftCell="A21">
      <selection activeCell="G35" sqref="G35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spans="1:7" ht="12.75">
      <c r="A6" t="s">
        <v>17</v>
      </c>
      <c r="C6" s="1">
        <v>4500000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 s="21" t="s">
        <v>33</v>
      </c>
    </row>
    <row r="11" spans="1:11" ht="12.75">
      <c r="A11" s="3" t="s">
        <v>0</v>
      </c>
      <c r="B11" s="3" t="s">
        <v>7</v>
      </c>
      <c r="C11" s="3" t="s">
        <v>23</v>
      </c>
      <c r="D11" s="3" t="s">
        <v>22</v>
      </c>
      <c r="E11" s="3" t="s">
        <v>24</v>
      </c>
      <c r="F11" s="3"/>
      <c r="G11" s="3"/>
      <c r="I11" s="3"/>
      <c r="J11" s="3"/>
      <c r="K11" s="3"/>
    </row>
    <row r="12" spans="1:11" ht="12.75">
      <c r="A12" s="7">
        <v>0</v>
      </c>
      <c r="B12" s="19">
        <v>-9000000</v>
      </c>
      <c r="C12" s="11">
        <v>6</v>
      </c>
      <c r="D12" s="12">
        <f>(1+C3/100)^C12</f>
        <v>1.340095640625</v>
      </c>
      <c r="E12" s="16">
        <f aca="true" t="shared" si="0" ref="E12:E18">B12*D12</f>
        <v>-12060860.765625</v>
      </c>
      <c r="F12" s="16"/>
      <c r="G12" s="14"/>
      <c r="I12" s="3"/>
      <c r="J12" s="3"/>
      <c r="K12" s="3"/>
    </row>
    <row r="13" spans="1:12" ht="12.75">
      <c r="A13" s="7">
        <v>1</v>
      </c>
      <c r="B13" s="19">
        <v>750000</v>
      </c>
      <c r="C13" s="11">
        <v>5</v>
      </c>
      <c r="D13" s="12">
        <f>(1+C4/100)^C13</f>
        <v>1.1592740742999998</v>
      </c>
      <c r="E13" s="17">
        <f t="shared" si="0"/>
        <v>869455.5557249999</v>
      </c>
      <c r="F13" s="17"/>
      <c r="G13" s="13"/>
      <c r="I13" s="3"/>
      <c r="J13" s="1"/>
      <c r="K13" s="1"/>
      <c r="L13" s="5"/>
    </row>
    <row r="14" spans="1:12" ht="12.75">
      <c r="A14" s="7">
        <v>2</v>
      </c>
      <c r="B14" s="19">
        <v>750000</v>
      </c>
      <c r="C14" s="11">
        <v>4</v>
      </c>
      <c r="D14" s="12">
        <f>(1+C4/100)^C14</f>
        <v>1.12550881</v>
      </c>
      <c r="E14" s="17">
        <f t="shared" si="0"/>
        <v>844131.6074999999</v>
      </c>
      <c r="F14" s="17"/>
      <c r="G14" s="13"/>
      <c r="I14" s="3"/>
      <c r="J14" s="1"/>
      <c r="K14" s="1"/>
      <c r="L14" s="5"/>
    </row>
    <row r="15" spans="1:12" ht="12.75">
      <c r="A15" s="7">
        <v>3</v>
      </c>
      <c r="B15" s="19">
        <v>750000</v>
      </c>
      <c r="C15" s="11">
        <v>3</v>
      </c>
      <c r="D15" s="12">
        <f>(1+C4/100)^C15</f>
        <v>1.092727</v>
      </c>
      <c r="E15" s="17">
        <f t="shared" si="0"/>
        <v>819545.25</v>
      </c>
      <c r="F15" s="17"/>
      <c r="G15" s="13"/>
      <c r="I15" s="3"/>
      <c r="J15" s="1"/>
      <c r="K15" s="1"/>
      <c r="L15" s="5"/>
    </row>
    <row r="16" spans="1:7" ht="12.75">
      <c r="A16" s="7">
        <v>4</v>
      </c>
      <c r="B16" s="19">
        <v>950000</v>
      </c>
      <c r="C16" s="11">
        <v>2</v>
      </c>
      <c r="D16" s="12">
        <f>(1+C4/100)^C16</f>
        <v>1.0609</v>
      </c>
      <c r="E16" s="17">
        <f t="shared" si="0"/>
        <v>1007855</v>
      </c>
      <c r="F16" s="17"/>
      <c r="G16" s="13"/>
    </row>
    <row r="17" spans="1:7" ht="12.75">
      <c r="A17" s="7">
        <v>5</v>
      </c>
      <c r="B17" s="19">
        <v>950000</v>
      </c>
      <c r="C17" s="11">
        <v>1</v>
      </c>
      <c r="D17" s="12">
        <f>(1+C4/100)^C17</f>
        <v>1.03</v>
      </c>
      <c r="E17" s="17">
        <f t="shared" si="0"/>
        <v>978500</v>
      </c>
      <c r="F17" s="17"/>
      <c r="G17" s="13"/>
    </row>
    <row r="18" spans="1:7" ht="12.75">
      <c r="A18" s="7">
        <v>6</v>
      </c>
      <c r="B18" s="19">
        <v>12950000</v>
      </c>
      <c r="C18" s="11">
        <v>0</v>
      </c>
      <c r="D18" s="12">
        <f>(1+C4/100)^C18</f>
        <v>1</v>
      </c>
      <c r="E18" s="17">
        <f t="shared" si="0"/>
        <v>12950000</v>
      </c>
      <c r="F18" s="17"/>
      <c r="G18" s="13"/>
    </row>
    <row r="19" spans="5:8" ht="12.75">
      <c r="E19" s="18">
        <f>SUM(E12:E18)</f>
        <v>5408626.647600001</v>
      </c>
      <c r="F19" s="18"/>
      <c r="H19" s="15"/>
    </row>
    <row r="22" spans="1:10" ht="12.75">
      <c r="A22" s="3" t="s">
        <v>0</v>
      </c>
      <c r="B22" s="3" t="s">
        <v>7</v>
      </c>
      <c r="C22" s="3" t="s">
        <v>25</v>
      </c>
      <c r="D22" s="3" t="s">
        <v>26</v>
      </c>
      <c r="E22" s="3" t="s">
        <v>27</v>
      </c>
      <c r="F22" s="3" t="s">
        <v>31</v>
      </c>
      <c r="G22" s="3" t="s">
        <v>28</v>
      </c>
      <c r="H22" s="3" t="s">
        <v>29</v>
      </c>
      <c r="I22" s="3" t="s">
        <v>30</v>
      </c>
      <c r="J22" t="s">
        <v>32</v>
      </c>
    </row>
    <row r="23" spans="1:10" ht="12.75">
      <c r="A23" s="7">
        <v>0</v>
      </c>
      <c r="B23" s="19">
        <v>-4500000</v>
      </c>
      <c r="C23" s="20">
        <v>4500000</v>
      </c>
      <c r="D23" s="20"/>
      <c r="E23" s="17"/>
      <c r="F23" s="20">
        <v>4500000</v>
      </c>
      <c r="G23" s="20"/>
      <c r="H23" s="20"/>
      <c r="I23" s="20"/>
      <c r="J23" s="23"/>
    </row>
    <row r="24" spans="1:10" ht="12.75">
      <c r="A24" s="7">
        <v>1</v>
      </c>
      <c r="B24" s="19">
        <v>420000</v>
      </c>
      <c r="C24" s="20"/>
      <c r="D24" s="20">
        <f>B24-E24</f>
        <v>195000</v>
      </c>
      <c r="E24" s="17">
        <f>$C$3*F23/100</f>
        <v>225000</v>
      </c>
      <c r="F24" s="17">
        <f>F23-D24</f>
        <v>4305000</v>
      </c>
      <c r="G24" s="20"/>
      <c r="H24" s="20"/>
      <c r="I24" s="20"/>
      <c r="J24" s="23"/>
    </row>
    <row r="25" spans="1:10" ht="12.75">
      <c r="A25" s="7">
        <v>2</v>
      </c>
      <c r="B25" s="19">
        <v>436750</v>
      </c>
      <c r="C25" s="20"/>
      <c r="D25" s="20">
        <f>B25-E25</f>
        <v>221500</v>
      </c>
      <c r="E25" s="17">
        <f>$C$3*F24/100</f>
        <v>215250</v>
      </c>
      <c r="F25" s="17">
        <f>F24-D25</f>
        <v>4083500</v>
      </c>
      <c r="G25" s="20"/>
      <c r="H25" s="20"/>
      <c r="I25" s="20"/>
      <c r="J25" s="23"/>
    </row>
    <row r="26" spans="1:10" ht="12.75">
      <c r="A26" s="7">
        <v>3</v>
      </c>
      <c r="B26" s="19">
        <v>454153.1250000001</v>
      </c>
      <c r="C26" s="20"/>
      <c r="D26" s="20">
        <f>B26-E26</f>
        <v>249978.12500000012</v>
      </c>
      <c r="E26" s="17">
        <f>$C$3*F25/100</f>
        <v>204175</v>
      </c>
      <c r="F26" s="17">
        <f>F25-D26</f>
        <v>3833521.875</v>
      </c>
      <c r="G26" s="20"/>
      <c r="H26" s="20"/>
      <c r="I26" s="20"/>
      <c r="J26" s="23"/>
    </row>
    <row r="27" spans="1:10" ht="12.75">
      <c r="A27" s="7">
        <v>4</v>
      </c>
      <c r="B27" s="19">
        <v>472234.4921875001</v>
      </c>
      <c r="C27" s="20"/>
      <c r="D27" s="20">
        <f aca="true" t="shared" si="1" ref="D27:D34">B27-E27</f>
        <v>280558.3984375001</v>
      </c>
      <c r="E27" s="17">
        <f aca="true" t="shared" si="2" ref="E27:E35">$C$3*F26/100</f>
        <v>191676.09375</v>
      </c>
      <c r="F27" s="17">
        <f aca="true" t="shared" si="3" ref="F27:F35">F26-D27</f>
        <v>3552963.4765625</v>
      </c>
      <c r="G27" s="20"/>
      <c r="H27" s="20"/>
      <c r="I27" s="20"/>
      <c r="J27" s="23"/>
    </row>
    <row r="28" spans="1:10" ht="12.75">
      <c r="A28" s="7">
        <v>5</v>
      </c>
      <c r="B28" s="19">
        <v>491020.1762695314</v>
      </c>
      <c r="C28" s="20"/>
      <c r="D28" s="20">
        <f t="shared" si="1"/>
        <v>313372.0024414064</v>
      </c>
      <c r="E28" s="17">
        <f t="shared" si="2"/>
        <v>177648.173828125</v>
      </c>
      <c r="F28" s="17">
        <f t="shared" si="3"/>
        <v>3239591.4741210938</v>
      </c>
      <c r="G28" s="20"/>
      <c r="H28" s="20"/>
      <c r="I28" s="20"/>
      <c r="J28" s="23"/>
    </row>
    <row r="29" spans="1:10" ht="12.75">
      <c r="A29" s="7">
        <v>6</v>
      </c>
      <c r="B29" s="19">
        <v>510537.24577026383</v>
      </c>
      <c r="C29" s="20"/>
      <c r="D29" s="20">
        <f t="shared" si="1"/>
        <v>348557.6720642091</v>
      </c>
      <c r="E29" s="17">
        <f t="shared" si="2"/>
        <v>161979.57370605468</v>
      </c>
      <c r="F29" s="17">
        <f t="shared" si="3"/>
        <v>2891033.8020568844</v>
      </c>
      <c r="G29" s="20"/>
      <c r="H29" s="20"/>
      <c r="I29" s="20"/>
      <c r="J29" s="23"/>
    </row>
    <row r="30" spans="1:10" ht="12.75">
      <c r="A30" s="7">
        <v>7</v>
      </c>
      <c r="B30" s="19">
        <v>530813.8006995394</v>
      </c>
      <c r="C30" s="20"/>
      <c r="D30" s="20">
        <f t="shared" si="1"/>
        <v>386262.11059669516</v>
      </c>
      <c r="E30" s="17">
        <f t="shared" si="2"/>
        <v>144551.6901028442</v>
      </c>
      <c r="F30" s="17">
        <f t="shared" si="3"/>
        <v>2504771.6914601894</v>
      </c>
      <c r="G30" s="20"/>
      <c r="H30" s="20"/>
      <c r="I30" s="20"/>
      <c r="J30" s="23"/>
    </row>
    <row r="31" spans="1:10" ht="12.75">
      <c r="A31" s="7">
        <v>8</v>
      </c>
      <c r="B31" s="19">
        <v>551879.011643985</v>
      </c>
      <c r="C31" s="20"/>
      <c r="D31" s="20">
        <f t="shared" si="1"/>
        <v>426640.4270709756</v>
      </c>
      <c r="E31" s="17">
        <f t="shared" si="2"/>
        <v>125238.58457300946</v>
      </c>
      <c r="F31" s="17">
        <f t="shared" si="3"/>
        <v>2078131.2643892139</v>
      </c>
      <c r="G31" s="20"/>
      <c r="H31" s="20"/>
      <c r="I31" s="20"/>
      <c r="J31" s="23"/>
    </row>
    <row r="32" spans="1:10" ht="12.75">
      <c r="A32" s="7">
        <v>9</v>
      </c>
      <c r="B32" s="19">
        <v>573763.1603343028</v>
      </c>
      <c r="C32" s="20"/>
      <c r="D32" s="20">
        <f t="shared" si="1"/>
        <v>469856.5971148421</v>
      </c>
      <c r="E32" s="17">
        <f t="shared" si="2"/>
        <v>103906.5632194607</v>
      </c>
      <c r="F32" s="17">
        <f t="shared" si="3"/>
        <v>1608274.6672743717</v>
      </c>
      <c r="G32" s="20"/>
      <c r="H32" s="20"/>
      <c r="I32" s="20"/>
      <c r="J32" s="23"/>
    </row>
    <row r="33" spans="1:10" ht="12.75">
      <c r="A33" s="7">
        <v>10</v>
      </c>
      <c r="B33" s="19">
        <v>596497.6817443492</v>
      </c>
      <c r="C33" s="20"/>
      <c r="D33" s="20">
        <f t="shared" si="1"/>
        <v>516083.9483806306</v>
      </c>
      <c r="E33" s="17">
        <f t="shared" si="2"/>
        <v>80413.73336371858</v>
      </c>
      <c r="F33" s="17">
        <f t="shared" si="3"/>
        <v>1092190.7188937413</v>
      </c>
      <c r="G33" s="20"/>
      <c r="H33" s="20"/>
      <c r="I33" s="20"/>
      <c r="J33" s="23"/>
    </row>
    <row r="34" spans="1:10" ht="12.75">
      <c r="A34" s="7">
        <v>11</v>
      </c>
      <c r="B34" s="22">
        <v>620115.20777971</v>
      </c>
      <c r="C34" s="4"/>
      <c r="D34" s="20">
        <f t="shared" si="1"/>
        <v>565505.6718350229</v>
      </c>
      <c r="E34" s="17">
        <f t="shared" si="2"/>
        <v>54609.535944687064</v>
      </c>
      <c r="F34" s="17">
        <f t="shared" si="3"/>
        <v>526685.0470587184</v>
      </c>
      <c r="G34" s="2"/>
      <c r="H34" s="1"/>
      <c r="I34" s="1"/>
      <c r="J34" s="1"/>
    </row>
    <row r="35" spans="1:10" ht="12.75">
      <c r="A35" s="7">
        <v>12</v>
      </c>
      <c r="B35" s="22">
        <v>644649.6126156454</v>
      </c>
      <c r="C35" s="4"/>
      <c r="D35" s="20">
        <f>F34</f>
        <v>526685.0470587184</v>
      </c>
      <c r="E35" s="17">
        <f t="shared" si="2"/>
        <v>26334.252352935917</v>
      </c>
      <c r="F35" s="17">
        <f t="shared" si="3"/>
        <v>0</v>
      </c>
      <c r="G35" s="6">
        <f>B35-D35-E35</f>
        <v>91630.31320399109</v>
      </c>
      <c r="H35" s="1"/>
      <c r="I35" s="1"/>
      <c r="J35" s="1">
        <f>G35+I35</f>
        <v>91630.31320399109</v>
      </c>
    </row>
    <row r="36" spans="1:10" ht="12.75">
      <c r="A36" s="7">
        <v>13</v>
      </c>
      <c r="B36" s="22">
        <v>670136.0597465335</v>
      </c>
      <c r="C36" s="4"/>
      <c r="D36" s="20"/>
      <c r="E36" s="17"/>
      <c r="F36" s="17"/>
      <c r="G36" s="6">
        <f>B36</f>
        <v>670136.0597465335</v>
      </c>
      <c r="H36" s="1"/>
      <c r="I36" s="1">
        <f>J35*$C$4/100</f>
        <v>2748.9093961197323</v>
      </c>
      <c r="J36" s="1">
        <f>G36+I36+J35</f>
        <v>764515.2823466443</v>
      </c>
    </row>
    <row r="37" spans="1:10" ht="12.75">
      <c r="A37" s="7">
        <v>14</v>
      </c>
      <c r="B37" s="22">
        <v>696611.0508112749</v>
      </c>
      <c r="C37" s="4"/>
      <c r="D37" s="20"/>
      <c r="E37" s="17"/>
      <c r="F37" s="17"/>
      <c r="G37" s="6">
        <f>B37</f>
        <v>696611.0508112749</v>
      </c>
      <c r="H37" s="1"/>
      <c r="I37" s="1">
        <f>J36*$C$4/100</f>
        <v>22935.458470399328</v>
      </c>
      <c r="J37" s="1">
        <f>G37+I37+J36</f>
        <v>1484061.7916283186</v>
      </c>
    </row>
    <row r="38" spans="1:10" ht="12.75">
      <c r="A38" s="7">
        <v>15</v>
      </c>
      <c r="B38" s="22">
        <v>8793031.820256263</v>
      </c>
      <c r="C38" s="4"/>
      <c r="D38" s="4"/>
      <c r="E38" s="4"/>
      <c r="F38" s="4"/>
      <c r="G38" s="6">
        <f>B38</f>
        <v>8793031.820256263</v>
      </c>
      <c r="H38" s="1"/>
      <c r="I38" s="1">
        <f>J37*$C$4/100</f>
        <v>44521.85374884956</v>
      </c>
      <c r="J38" s="2">
        <f>G38+I38+J37</f>
        <v>10321615.46563343</v>
      </c>
    </row>
    <row r="39" spans="7:10" ht="12.75">
      <c r="G39" s="1"/>
      <c r="H39" s="2"/>
      <c r="I39" s="1"/>
      <c r="J39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28"/>
  <sheetViews>
    <sheetView zoomScale="135" zoomScaleNormal="135" workbookViewId="0" topLeftCell="A1">
      <selection activeCell="A12" sqref="A12:B27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ht="12.75">
      <c r="A6" t="s">
        <v>18</v>
      </c>
    </row>
    <row r="7" spans="1:3" ht="12.75">
      <c r="A7" t="s">
        <v>19</v>
      </c>
      <c r="C7" s="21">
        <v>15</v>
      </c>
    </row>
    <row r="11" spans="1:10" ht="12.75">
      <c r="A11" s="3" t="s">
        <v>0</v>
      </c>
      <c r="B11" s="3" t="s">
        <v>7</v>
      </c>
      <c r="C11" s="3" t="s">
        <v>25</v>
      </c>
      <c r="D11" s="3" t="s">
        <v>26</v>
      </c>
      <c r="E11" s="3" t="s">
        <v>27</v>
      </c>
      <c r="F11" s="3" t="s">
        <v>31</v>
      </c>
      <c r="G11" s="3" t="s">
        <v>28</v>
      </c>
      <c r="H11" s="3" t="s">
        <v>29</v>
      </c>
      <c r="I11" s="3" t="s">
        <v>30</v>
      </c>
      <c r="J11" t="s">
        <v>32</v>
      </c>
    </row>
    <row r="12" spans="1:10" ht="12.75">
      <c r="A12" s="7">
        <v>0</v>
      </c>
      <c r="B12" s="19">
        <v>-9000000</v>
      </c>
      <c r="C12" s="20">
        <f>B12*(-1)</f>
        <v>9000000</v>
      </c>
      <c r="D12" s="20"/>
      <c r="E12" s="17"/>
      <c r="F12" s="20">
        <f>C12</f>
        <v>9000000</v>
      </c>
      <c r="G12" s="20"/>
      <c r="H12" s="20"/>
      <c r="I12" s="20"/>
      <c r="J12" s="23"/>
    </row>
    <row r="13" spans="1:10" ht="12.75">
      <c r="A13" s="7">
        <v>1</v>
      </c>
      <c r="B13" s="19">
        <v>850000</v>
      </c>
      <c r="C13" s="20"/>
      <c r="D13" s="20">
        <f aca="true" t="shared" si="0" ref="D13:D23">B13-E13</f>
        <v>400000</v>
      </c>
      <c r="E13" s="17">
        <f aca="true" t="shared" si="1" ref="E13:E24">$C$3*F12/100</f>
        <v>450000</v>
      </c>
      <c r="F13" s="17">
        <f aca="true" t="shared" si="2" ref="F13:F24">F12-D13</f>
        <v>8600000</v>
      </c>
      <c r="G13" s="20"/>
      <c r="H13" s="20"/>
      <c r="I13" s="20"/>
      <c r="J13" s="23"/>
    </row>
    <row r="14" spans="1:10" ht="12.75">
      <c r="A14" s="7">
        <v>2</v>
      </c>
      <c r="B14" s="19">
        <v>870000</v>
      </c>
      <c r="C14" s="20"/>
      <c r="D14" s="20">
        <f t="shared" si="0"/>
        <v>440000</v>
      </c>
      <c r="E14" s="17">
        <f t="shared" si="1"/>
        <v>430000</v>
      </c>
      <c r="F14" s="17">
        <f t="shared" si="2"/>
        <v>8160000</v>
      </c>
      <c r="G14" s="20"/>
      <c r="H14" s="20"/>
      <c r="I14" s="20"/>
      <c r="J14" s="23"/>
    </row>
    <row r="15" spans="1:10" ht="12.75">
      <c r="A15" s="7">
        <v>3</v>
      </c>
      <c r="B15" s="19">
        <v>900000</v>
      </c>
      <c r="C15" s="20"/>
      <c r="D15" s="20">
        <f t="shared" si="0"/>
        <v>492000</v>
      </c>
      <c r="E15" s="17">
        <f t="shared" si="1"/>
        <v>408000</v>
      </c>
      <c r="F15" s="17">
        <f t="shared" si="2"/>
        <v>7668000</v>
      </c>
      <c r="G15" s="20"/>
      <c r="H15" s="20"/>
      <c r="I15" s="20"/>
      <c r="J15" s="23"/>
    </row>
    <row r="16" spans="1:10" ht="12.75">
      <c r="A16" s="7">
        <v>4</v>
      </c>
      <c r="B16" s="19">
        <v>950000</v>
      </c>
      <c r="C16" s="20"/>
      <c r="D16" s="20">
        <f t="shared" si="0"/>
        <v>566600</v>
      </c>
      <c r="E16" s="17">
        <f t="shared" si="1"/>
        <v>383400</v>
      </c>
      <c r="F16" s="17">
        <f t="shared" si="2"/>
        <v>7101400</v>
      </c>
      <c r="G16" s="20"/>
      <c r="H16" s="20"/>
      <c r="I16" s="20"/>
      <c r="J16" s="23"/>
    </row>
    <row r="17" spans="1:10" ht="12.75">
      <c r="A17" s="7">
        <v>5</v>
      </c>
      <c r="B17" s="19">
        <v>1000000</v>
      </c>
      <c r="C17" s="20"/>
      <c r="D17" s="20">
        <f t="shared" si="0"/>
        <v>644930</v>
      </c>
      <c r="E17" s="17">
        <f t="shared" si="1"/>
        <v>355070</v>
      </c>
      <c r="F17" s="17">
        <f t="shared" si="2"/>
        <v>6456470</v>
      </c>
      <c r="G17" s="20"/>
      <c r="H17" s="20"/>
      <c r="I17" s="20"/>
      <c r="J17" s="23"/>
    </row>
    <row r="18" spans="1:10" ht="12.75">
      <c r="A18" s="7">
        <v>6</v>
      </c>
      <c r="B18" s="19">
        <v>1020000</v>
      </c>
      <c r="C18" s="20"/>
      <c r="D18" s="20">
        <f t="shared" si="0"/>
        <v>697176.5</v>
      </c>
      <c r="E18" s="17">
        <f t="shared" si="1"/>
        <v>322823.5</v>
      </c>
      <c r="F18" s="17">
        <f t="shared" si="2"/>
        <v>5759293.5</v>
      </c>
      <c r="G18" s="20"/>
      <c r="H18" s="20"/>
      <c r="I18" s="20"/>
      <c r="J18" s="23"/>
    </row>
    <row r="19" spans="1:10" ht="12.75">
      <c r="A19" s="7">
        <v>7</v>
      </c>
      <c r="B19" s="19">
        <v>1060000</v>
      </c>
      <c r="C19" s="20"/>
      <c r="D19" s="20">
        <f t="shared" si="0"/>
        <v>772035.325</v>
      </c>
      <c r="E19" s="17">
        <f t="shared" si="1"/>
        <v>287964.675</v>
      </c>
      <c r="F19" s="17">
        <f t="shared" si="2"/>
        <v>4987258.175</v>
      </c>
      <c r="G19" s="20"/>
      <c r="H19" s="20"/>
      <c r="I19" s="20"/>
      <c r="J19" s="23"/>
    </row>
    <row r="20" spans="1:10" ht="12.75">
      <c r="A20" s="7">
        <v>8</v>
      </c>
      <c r="B20" s="19">
        <v>1100000</v>
      </c>
      <c r="C20" s="20"/>
      <c r="D20" s="20">
        <f t="shared" si="0"/>
        <v>850637.09125</v>
      </c>
      <c r="E20" s="17">
        <f t="shared" si="1"/>
        <v>249362.90875</v>
      </c>
      <c r="F20" s="17">
        <f t="shared" si="2"/>
        <v>4136621.0837499998</v>
      </c>
      <c r="G20" s="20"/>
      <c r="H20" s="20"/>
      <c r="I20" s="20"/>
      <c r="J20" s="23"/>
    </row>
    <row r="21" spans="1:10" ht="12.75">
      <c r="A21" s="7">
        <v>9</v>
      </c>
      <c r="B21" s="19">
        <v>1150000</v>
      </c>
      <c r="C21" s="20"/>
      <c r="D21" s="20">
        <f t="shared" si="0"/>
        <v>943168.9458125</v>
      </c>
      <c r="E21" s="17">
        <f t="shared" si="1"/>
        <v>206831.0541875</v>
      </c>
      <c r="F21" s="17">
        <f t="shared" si="2"/>
        <v>3193452.1379374997</v>
      </c>
      <c r="G21" s="20"/>
      <c r="H21" s="20"/>
      <c r="I21" s="20"/>
      <c r="J21" s="23"/>
    </row>
    <row r="22" spans="1:10" ht="12.75">
      <c r="A22" s="7">
        <v>10</v>
      </c>
      <c r="B22" s="19">
        <v>1200000</v>
      </c>
      <c r="C22" s="20"/>
      <c r="D22" s="20">
        <f t="shared" si="0"/>
        <v>1040327.393103125</v>
      </c>
      <c r="E22" s="17">
        <f t="shared" si="1"/>
        <v>159672.606896875</v>
      </c>
      <c r="F22" s="17">
        <f t="shared" si="2"/>
        <v>2153124.7448343746</v>
      </c>
      <c r="G22" s="20"/>
      <c r="H22" s="20"/>
      <c r="I22" s="20"/>
      <c r="J22" s="23"/>
    </row>
    <row r="23" spans="1:10" ht="12.75">
      <c r="A23" s="7">
        <v>11</v>
      </c>
      <c r="B23" s="22">
        <v>1250000</v>
      </c>
      <c r="C23" s="4"/>
      <c r="D23" s="20">
        <f t="shared" si="0"/>
        <v>1142343.7627582813</v>
      </c>
      <c r="E23" s="17">
        <f t="shared" si="1"/>
        <v>107656.23724171873</v>
      </c>
      <c r="F23" s="17">
        <f t="shared" si="2"/>
        <v>1010780.9820760933</v>
      </c>
      <c r="G23" s="2"/>
      <c r="H23" s="1"/>
      <c r="I23" s="1"/>
      <c r="J23" s="1"/>
    </row>
    <row r="24" spans="1:10" ht="12.75">
      <c r="A24" s="7">
        <v>12</v>
      </c>
      <c r="B24" s="22">
        <v>1300000</v>
      </c>
      <c r="C24" s="4"/>
      <c r="D24" s="20">
        <f>F23</f>
        <v>1010780.9820760933</v>
      </c>
      <c r="E24" s="17">
        <f t="shared" si="1"/>
        <v>50539.04910380467</v>
      </c>
      <c r="F24" s="17">
        <f t="shared" si="2"/>
        <v>0</v>
      </c>
      <c r="G24" s="6">
        <f>B24-D24-E24</f>
        <v>238679.96882010202</v>
      </c>
      <c r="H24" s="1"/>
      <c r="I24" s="1"/>
      <c r="J24" s="1">
        <f>G24+I24</f>
        <v>238679.96882010202</v>
      </c>
    </row>
    <row r="25" spans="1:10" ht="12.75">
      <c r="A25" s="7">
        <v>13</v>
      </c>
      <c r="B25" s="22">
        <v>1350000</v>
      </c>
      <c r="C25" s="4"/>
      <c r="D25" s="20"/>
      <c r="E25" s="17"/>
      <c r="F25" s="17"/>
      <c r="G25" s="6">
        <f>B25</f>
        <v>1350000</v>
      </c>
      <c r="H25" s="1"/>
      <c r="I25" s="1">
        <f>J24*$C$4/100</f>
        <v>7160.399064603061</v>
      </c>
      <c r="J25" s="1">
        <f>G25+I25+J24</f>
        <v>1595840.367884705</v>
      </c>
    </row>
    <row r="26" spans="1:10" ht="12.75">
      <c r="A26" s="7">
        <v>14</v>
      </c>
      <c r="B26" s="22">
        <v>1400000</v>
      </c>
      <c r="C26" s="4"/>
      <c r="D26" s="20"/>
      <c r="E26" s="17"/>
      <c r="F26" s="17"/>
      <c r="G26" s="6">
        <f>B26</f>
        <v>1400000</v>
      </c>
      <c r="H26" s="1"/>
      <c r="I26" s="1">
        <f>J25*$C$4/100</f>
        <v>47875.21103654116</v>
      </c>
      <c r="J26" s="1">
        <f>G26+I26+J25</f>
        <v>3043715.5789212463</v>
      </c>
    </row>
    <row r="27" spans="1:10" ht="12.75">
      <c r="A27" s="7">
        <v>15</v>
      </c>
      <c r="B27" s="22">
        <v>17600000</v>
      </c>
      <c r="C27" s="4"/>
      <c r="D27" s="4"/>
      <c r="E27" s="4"/>
      <c r="F27" s="4"/>
      <c r="G27" s="6">
        <f>B27</f>
        <v>17600000</v>
      </c>
      <c r="H27" s="1"/>
      <c r="I27" s="1">
        <f>J26*$C$4/100</f>
        <v>91311.46736763738</v>
      </c>
      <c r="J27" s="2">
        <f>G27+I27+J26</f>
        <v>20735027.046288885</v>
      </c>
    </row>
    <row r="28" spans="7:10" ht="12.75">
      <c r="G28" s="1"/>
      <c r="H28" s="2"/>
      <c r="I28" s="1"/>
      <c r="J28" s="1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48"/>
  <sheetViews>
    <sheetView zoomScale="135" zoomScaleNormal="135" workbookViewId="0" topLeftCell="A15">
      <selection activeCell="E37" sqref="E37"/>
    </sheetView>
  </sheetViews>
  <sheetFormatPr defaultColWidth="11.421875" defaultRowHeight="12.75"/>
  <cols>
    <col min="1" max="1" width="6.57421875" style="0" customWidth="1"/>
    <col min="2" max="2" width="11.7109375" style="0" customWidth="1"/>
    <col min="3" max="3" width="16.8515625" style="0" bestFit="1" customWidth="1"/>
    <col min="4" max="4" width="11.00390625" style="0" customWidth="1"/>
    <col min="5" max="5" width="16.57421875" style="0" customWidth="1"/>
    <col min="6" max="6" width="17.7109375" style="0" customWidth="1"/>
    <col min="8" max="8" width="7.57421875" style="0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5">
        <v>5</v>
      </c>
      <c r="D3" s="10"/>
      <c r="E3" s="10"/>
      <c r="F3" s="10"/>
      <c r="G3" s="10"/>
    </row>
    <row r="4" spans="1:7" ht="12.75">
      <c r="A4" t="s">
        <v>15</v>
      </c>
      <c r="C4" s="5">
        <v>3</v>
      </c>
      <c r="D4" s="10"/>
      <c r="E4" s="10"/>
      <c r="F4" s="10"/>
      <c r="G4" s="10"/>
    </row>
    <row r="5" spans="1:7" ht="12.75">
      <c r="A5" t="s">
        <v>16</v>
      </c>
      <c r="C5" s="5">
        <v>10</v>
      </c>
      <c r="D5" s="10"/>
      <c r="E5" s="10"/>
      <c r="F5" s="10"/>
      <c r="G5" s="10"/>
    </row>
    <row r="6" spans="1:7" ht="12.75">
      <c r="A6" t="s">
        <v>17</v>
      </c>
      <c r="C6" s="1">
        <v>9000000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>
        <v>15</v>
      </c>
    </row>
    <row r="11" spans="1:12" ht="12.75">
      <c r="A11" s="28" t="s">
        <v>0</v>
      </c>
      <c r="B11" s="28" t="s">
        <v>7</v>
      </c>
      <c r="C11" s="28" t="s">
        <v>20</v>
      </c>
      <c r="D11" s="28" t="s">
        <v>163</v>
      </c>
      <c r="E11" s="28" t="s">
        <v>23</v>
      </c>
      <c r="F11" s="28" t="s">
        <v>22</v>
      </c>
      <c r="G11" s="28" t="s">
        <v>24</v>
      </c>
      <c r="H11" s="28"/>
      <c r="J11" s="3"/>
      <c r="K11" s="3"/>
      <c r="L11" s="3"/>
    </row>
    <row r="12" spans="1:12" ht="12.75">
      <c r="A12" s="7">
        <v>0</v>
      </c>
      <c r="B12" s="19">
        <v>-9000000</v>
      </c>
      <c r="C12" s="7"/>
      <c r="D12" s="8">
        <f>B12+C12</f>
        <v>-9000000</v>
      </c>
      <c r="E12" s="11">
        <v>15</v>
      </c>
      <c r="F12" s="12">
        <f>(1+C3/100)^E12</f>
        <v>2.078928179411368</v>
      </c>
      <c r="G12" s="16">
        <f aca="true" t="shared" si="0" ref="G12:G18">B12*F12</f>
        <v>-18710353.61470231</v>
      </c>
      <c r="H12" s="14"/>
      <c r="J12" s="3"/>
      <c r="K12" s="3"/>
      <c r="L12" s="3"/>
    </row>
    <row r="13" spans="1:13" ht="12.75">
      <c r="A13" s="7">
        <v>1</v>
      </c>
      <c r="B13" s="19">
        <v>750000</v>
      </c>
      <c r="C13" s="7"/>
      <c r="D13" s="8">
        <f aca="true" t="shared" si="1" ref="D13:D27">B13+C13</f>
        <v>750000</v>
      </c>
      <c r="E13" s="11">
        <v>14</v>
      </c>
      <c r="F13" s="12">
        <f>(1+$C$4/100)^E13</f>
        <v>1.512589724855111</v>
      </c>
      <c r="G13" s="17">
        <f t="shared" si="0"/>
        <v>1134442.2936413332</v>
      </c>
      <c r="H13" s="13"/>
      <c r="J13" s="3"/>
      <c r="K13" s="1"/>
      <c r="L13" s="1"/>
      <c r="M13" s="5"/>
    </row>
    <row r="14" spans="1:13" ht="12.75">
      <c r="A14" s="7">
        <v>2</v>
      </c>
      <c r="B14" s="19">
        <v>750000</v>
      </c>
      <c r="C14" s="7"/>
      <c r="D14" s="8">
        <f t="shared" si="1"/>
        <v>750000</v>
      </c>
      <c r="E14" s="11">
        <v>13</v>
      </c>
      <c r="F14" s="12">
        <f>(1+$C$4/100)^E14</f>
        <v>1.468533713451564</v>
      </c>
      <c r="G14" s="17">
        <f t="shared" si="0"/>
        <v>1101400.285088673</v>
      </c>
      <c r="H14" s="13"/>
      <c r="J14" s="3"/>
      <c r="K14" s="1"/>
      <c r="L14" s="1"/>
      <c r="M14" s="5"/>
    </row>
    <row r="15" spans="1:13" ht="12.75">
      <c r="A15" s="7">
        <v>3</v>
      </c>
      <c r="B15" s="19">
        <v>750000</v>
      </c>
      <c r="C15" s="7"/>
      <c r="D15" s="8">
        <f t="shared" si="1"/>
        <v>750000</v>
      </c>
      <c r="E15" s="11">
        <v>12</v>
      </c>
      <c r="F15" s="12">
        <f aca="true" t="shared" si="2" ref="F15:F27">(1+$C$4/100)^E15</f>
        <v>1.4257608868461786</v>
      </c>
      <c r="G15" s="17">
        <f t="shared" si="0"/>
        <v>1069320.665134634</v>
      </c>
      <c r="H15" s="13"/>
      <c r="J15" s="3"/>
      <c r="K15" s="1"/>
      <c r="L15" s="1"/>
      <c r="M15" s="5"/>
    </row>
    <row r="16" spans="1:8" ht="12.75">
      <c r="A16" s="7">
        <v>4</v>
      </c>
      <c r="B16" s="19">
        <v>950000</v>
      </c>
      <c r="C16" s="7"/>
      <c r="D16" s="8">
        <f t="shared" si="1"/>
        <v>950000</v>
      </c>
      <c r="E16" s="11">
        <v>11</v>
      </c>
      <c r="F16" s="12">
        <f t="shared" si="2"/>
        <v>1.3842338707244455</v>
      </c>
      <c r="G16" s="17">
        <f t="shared" si="0"/>
        <v>1315022.1771882232</v>
      </c>
      <c r="H16" s="13"/>
    </row>
    <row r="17" spans="1:8" ht="12.75">
      <c r="A17" s="7">
        <v>5</v>
      </c>
      <c r="B17" s="19">
        <v>950000</v>
      </c>
      <c r="C17" s="7"/>
      <c r="D17" s="8">
        <f t="shared" si="1"/>
        <v>950000</v>
      </c>
      <c r="E17" s="11">
        <v>10</v>
      </c>
      <c r="F17" s="12">
        <f t="shared" si="2"/>
        <v>1.3439163793441218</v>
      </c>
      <c r="G17" s="17">
        <f t="shared" si="0"/>
        <v>1276720.5603769156</v>
      </c>
      <c r="H17" s="13"/>
    </row>
    <row r="18" spans="1:8" ht="12.75">
      <c r="A18" s="7">
        <v>6</v>
      </c>
      <c r="B18" s="19">
        <v>12950000</v>
      </c>
      <c r="C18" s="7"/>
      <c r="D18" s="8">
        <f t="shared" si="1"/>
        <v>12950000</v>
      </c>
      <c r="E18" s="11">
        <v>9</v>
      </c>
      <c r="F18" s="12">
        <f t="shared" si="2"/>
        <v>1.3047731838292445</v>
      </c>
      <c r="G18" s="17">
        <f t="shared" si="0"/>
        <v>16896812.730588716</v>
      </c>
      <c r="H18" s="13"/>
    </row>
    <row r="19" spans="1:8" ht="12.75">
      <c r="A19" s="7">
        <v>7</v>
      </c>
      <c r="B19" s="7"/>
      <c r="C19" s="7"/>
      <c r="D19" s="8">
        <f t="shared" si="1"/>
        <v>0</v>
      </c>
      <c r="E19" s="11">
        <v>8</v>
      </c>
      <c r="F19" s="12">
        <f t="shared" si="2"/>
        <v>1.266770081387616</v>
      </c>
      <c r="G19" s="7" t="s">
        <v>21</v>
      </c>
      <c r="H19" s="7"/>
    </row>
    <row r="20" spans="1:8" ht="12.75">
      <c r="A20" s="7">
        <v>8</v>
      </c>
      <c r="B20" s="7"/>
      <c r="C20" s="7"/>
      <c r="D20" s="8">
        <f t="shared" si="1"/>
        <v>0</v>
      </c>
      <c r="E20" s="11">
        <v>7</v>
      </c>
      <c r="F20" s="12">
        <f t="shared" si="2"/>
        <v>1.22987386542487</v>
      </c>
      <c r="G20" s="7" t="s">
        <v>21</v>
      </c>
      <c r="H20" s="7"/>
    </row>
    <row r="21" spans="1:8" ht="12.75">
      <c r="A21" s="7">
        <v>9</v>
      </c>
      <c r="B21" s="7"/>
      <c r="C21" s="7"/>
      <c r="D21" s="8">
        <f t="shared" si="1"/>
        <v>0</v>
      </c>
      <c r="E21" s="11">
        <v>6</v>
      </c>
      <c r="F21" s="12">
        <f t="shared" si="2"/>
        <v>1.194052296529</v>
      </c>
      <c r="G21" s="7" t="s">
        <v>21</v>
      </c>
      <c r="H21" s="7"/>
    </row>
    <row r="22" spans="1:8" ht="12.75">
      <c r="A22" s="7">
        <v>10</v>
      </c>
      <c r="B22" s="7"/>
      <c r="C22" s="7"/>
      <c r="D22" s="8">
        <f t="shared" si="1"/>
        <v>0</v>
      </c>
      <c r="E22" s="11">
        <v>5</v>
      </c>
      <c r="F22" s="12">
        <f t="shared" si="2"/>
        <v>1.1592740742999998</v>
      </c>
      <c r="G22" s="7" t="s">
        <v>21</v>
      </c>
      <c r="H22" s="7"/>
    </row>
    <row r="23" spans="1:8" ht="12.75">
      <c r="A23" s="7">
        <v>11</v>
      </c>
      <c r="B23" s="7"/>
      <c r="C23" s="7"/>
      <c r="D23" s="8">
        <f t="shared" si="1"/>
        <v>0</v>
      </c>
      <c r="E23" s="11">
        <v>4</v>
      </c>
      <c r="F23" s="12">
        <f t="shared" si="2"/>
        <v>1.12550881</v>
      </c>
      <c r="G23" s="7" t="s">
        <v>21</v>
      </c>
      <c r="H23" s="15"/>
    </row>
    <row r="24" spans="1:7" ht="12.75">
      <c r="A24" s="7">
        <v>12</v>
      </c>
      <c r="B24" s="7"/>
      <c r="C24" s="7"/>
      <c r="D24" s="8">
        <f t="shared" si="1"/>
        <v>0</v>
      </c>
      <c r="E24" s="11">
        <v>3</v>
      </c>
      <c r="F24" s="12">
        <f t="shared" si="2"/>
        <v>1.092727</v>
      </c>
      <c r="G24" s="7" t="s">
        <v>21</v>
      </c>
    </row>
    <row r="25" spans="1:7" ht="12.75">
      <c r="A25" s="7">
        <v>13</v>
      </c>
      <c r="B25" s="7"/>
      <c r="C25" s="7"/>
      <c r="D25" s="8">
        <f t="shared" si="1"/>
        <v>0</v>
      </c>
      <c r="E25" s="11">
        <v>2</v>
      </c>
      <c r="F25" s="12">
        <f t="shared" si="2"/>
        <v>1.0609</v>
      </c>
      <c r="G25" s="7" t="s">
        <v>21</v>
      </c>
    </row>
    <row r="26" spans="1:8" ht="12.75">
      <c r="A26" s="7">
        <v>14</v>
      </c>
      <c r="B26" s="7"/>
      <c r="C26" s="7"/>
      <c r="D26" s="8">
        <f t="shared" si="1"/>
        <v>0</v>
      </c>
      <c r="E26" s="11">
        <v>1</v>
      </c>
      <c r="F26" s="12">
        <f t="shared" si="2"/>
        <v>1.03</v>
      </c>
      <c r="G26" s="7" t="s">
        <v>21</v>
      </c>
      <c r="H26" s="3"/>
    </row>
    <row r="27" spans="1:8" ht="12.75">
      <c r="A27" s="7">
        <v>15</v>
      </c>
      <c r="B27" s="7"/>
      <c r="C27" s="7"/>
      <c r="D27" s="8">
        <f t="shared" si="1"/>
        <v>0</v>
      </c>
      <c r="E27" s="11">
        <v>0</v>
      </c>
      <c r="F27" s="12">
        <f t="shared" si="2"/>
        <v>1</v>
      </c>
      <c r="G27" s="7" t="s">
        <v>21</v>
      </c>
      <c r="H27" s="14"/>
    </row>
    <row r="28" spans="1:8" ht="12.75">
      <c r="A28" s="7"/>
      <c r="B28" s="19"/>
      <c r="C28" s="17"/>
      <c r="D28" s="17"/>
      <c r="E28" s="11"/>
      <c r="F28" s="12"/>
      <c r="G28" s="18">
        <f>SUM(G12:G18)</f>
        <v>4083365.097316185</v>
      </c>
      <c r="H28" s="14"/>
    </row>
    <row r="29" spans="1:8" ht="12.75">
      <c r="A29" s="7"/>
      <c r="B29" s="19"/>
      <c r="C29" s="17"/>
      <c r="D29" s="17"/>
      <c r="E29" s="11"/>
      <c r="F29" s="12"/>
      <c r="G29" s="17"/>
      <c r="H29" s="14"/>
    </row>
    <row r="30" spans="1:8" ht="12.75">
      <c r="A30" s="7"/>
      <c r="B30" s="19"/>
      <c r="C30" s="17"/>
      <c r="D30" s="17"/>
      <c r="E30" s="11"/>
      <c r="F30" s="12"/>
      <c r="G30" s="17"/>
      <c r="H30" s="14"/>
    </row>
    <row r="31" spans="1:9" ht="12.75">
      <c r="A31" s="28" t="s">
        <v>0</v>
      </c>
      <c r="B31" s="28" t="s">
        <v>7</v>
      </c>
      <c r="C31" s="28" t="s">
        <v>20</v>
      </c>
      <c r="D31" s="28" t="s">
        <v>163</v>
      </c>
      <c r="E31" s="28" t="s">
        <v>23</v>
      </c>
      <c r="F31" s="28" t="s">
        <v>22</v>
      </c>
      <c r="G31" s="28" t="s">
        <v>24</v>
      </c>
      <c r="H31" s="42"/>
      <c r="I31" s="14"/>
    </row>
    <row r="32" spans="1:9" ht="12.75">
      <c r="A32" s="7">
        <v>0</v>
      </c>
      <c r="B32" s="19">
        <v>-4500000</v>
      </c>
      <c r="C32" s="25">
        <v>-4500000</v>
      </c>
      <c r="D32" s="25">
        <f>B32+C32</f>
        <v>-9000000</v>
      </c>
      <c r="E32" s="11">
        <v>15</v>
      </c>
      <c r="F32" s="12">
        <f>(1+C3/100)^E32</f>
        <v>2.078928179411368</v>
      </c>
      <c r="G32" s="17">
        <f>B32*F32+C32*F32</f>
        <v>-18710353.61470231</v>
      </c>
      <c r="H32" s="17"/>
      <c r="I32" s="14"/>
    </row>
    <row r="33" spans="1:9" ht="12.75">
      <c r="A33" s="7">
        <v>1</v>
      </c>
      <c r="B33" s="19">
        <v>420000</v>
      </c>
      <c r="C33" s="25"/>
      <c r="D33" s="25">
        <f aca="true" t="shared" si="3" ref="D33:D47">B33+C33</f>
        <v>420000</v>
      </c>
      <c r="E33" s="11">
        <v>14</v>
      </c>
      <c r="F33" s="12">
        <f>(1+$C$4/100)^E33</f>
        <v>1.512589724855111</v>
      </c>
      <c r="G33" s="17">
        <f aca="true" t="shared" si="4" ref="G33:G46">B33*F33</f>
        <v>635287.6844391467</v>
      </c>
      <c r="H33" s="17"/>
      <c r="I33" s="14"/>
    </row>
    <row r="34" spans="1:9" ht="12.75">
      <c r="A34" s="7">
        <v>2</v>
      </c>
      <c r="B34" s="19">
        <v>436750</v>
      </c>
      <c r="C34" s="25"/>
      <c r="D34" s="25">
        <f t="shared" si="3"/>
        <v>436750</v>
      </c>
      <c r="E34" s="11">
        <v>13</v>
      </c>
      <c r="F34" s="12">
        <f>(1+$C$4/100)^E34</f>
        <v>1.468533713451564</v>
      </c>
      <c r="G34" s="17">
        <f t="shared" si="4"/>
        <v>641382.0993499706</v>
      </c>
      <c r="H34" s="17"/>
      <c r="I34" s="14"/>
    </row>
    <row r="35" spans="1:9" ht="12.75">
      <c r="A35" s="7">
        <v>3</v>
      </c>
      <c r="B35" s="19">
        <v>454153.1250000001</v>
      </c>
      <c r="C35" s="25"/>
      <c r="D35" s="25">
        <f t="shared" si="3"/>
        <v>454153.1250000001</v>
      </c>
      <c r="E35" s="11">
        <v>12</v>
      </c>
      <c r="F35" s="12">
        <f aca="true" t="shared" si="5" ref="F35:F47">(1+$C$4/100)^E35</f>
        <v>1.4257608868461786</v>
      </c>
      <c r="G35" s="17">
        <f t="shared" si="4"/>
        <v>647513.7622639636</v>
      </c>
      <c r="H35" s="17"/>
      <c r="I35" s="14"/>
    </row>
    <row r="36" spans="1:9" ht="12.75">
      <c r="A36" s="7">
        <v>4</v>
      </c>
      <c r="B36" s="19">
        <v>472234.4921875001</v>
      </c>
      <c r="C36" s="25"/>
      <c r="D36" s="25">
        <f t="shared" si="3"/>
        <v>472234.4921875001</v>
      </c>
      <c r="E36" s="11">
        <v>11</v>
      </c>
      <c r="F36" s="12">
        <f t="shared" si="5"/>
        <v>1.3842338707244455</v>
      </c>
      <c r="G36" s="17">
        <f t="shared" si="4"/>
        <v>653682.9790102962</v>
      </c>
      <c r="H36" s="17"/>
      <c r="I36" s="14"/>
    </row>
    <row r="37" spans="1:9" ht="12.75">
      <c r="A37" s="7">
        <v>5</v>
      </c>
      <c r="B37" s="19">
        <v>491020.1762695314</v>
      </c>
      <c r="C37" s="25"/>
      <c r="D37" s="25">
        <f t="shared" si="3"/>
        <v>491020.1762695314</v>
      </c>
      <c r="E37" s="11">
        <v>10</v>
      </c>
      <c r="F37" s="12">
        <f t="shared" si="5"/>
        <v>1.3439163793441218</v>
      </c>
      <c r="G37" s="17">
        <f t="shared" si="4"/>
        <v>659890.0574770612</v>
      </c>
      <c r="H37" s="17"/>
      <c r="I37" s="14"/>
    </row>
    <row r="38" spans="1:9" ht="12.75">
      <c r="A38" s="7">
        <v>6</v>
      </c>
      <c r="B38" s="19">
        <v>510537.24577026383</v>
      </c>
      <c r="C38" s="25"/>
      <c r="D38" s="25">
        <f t="shared" si="3"/>
        <v>510537.24577026383</v>
      </c>
      <c r="E38" s="11">
        <v>9</v>
      </c>
      <c r="F38" s="12">
        <f t="shared" si="5"/>
        <v>1.3047731838292445</v>
      </c>
      <c r="G38" s="17">
        <f t="shared" si="4"/>
        <v>666135.3076270806</v>
      </c>
      <c r="H38" s="18"/>
      <c r="I38" s="2"/>
    </row>
    <row r="39" spans="1:9" ht="12.75">
      <c r="A39" s="7">
        <v>7</v>
      </c>
      <c r="B39" s="19">
        <v>530813.8006995394</v>
      </c>
      <c r="C39" s="25"/>
      <c r="D39" s="25">
        <f t="shared" si="3"/>
        <v>530813.8006995394</v>
      </c>
      <c r="E39" s="11">
        <v>8</v>
      </c>
      <c r="F39" s="12">
        <f t="shared" si="5"/>
        <v>1.266770081387616</v>
      </c>
      <c r="G39" s="17">
        <f t="shared" si="4"/>
        <v>672419.0415138252</v>
      </c>
      <c r="H39" s="4"/>
      <c r="I39" s="1"/>
    </row>
    <row r="40" spans="1:9" ht="12.75">
      <c r="A40" s="7">
        <v>8</v>
      </c>
      <c r="B40" s="19">
        <v>551879.011643985</v>
      </c>
      <c r="C40" s="25"/>
      <c r="D40" s="25">
        <f t="shared" si="3"/>
        <v>551879.011643985</v>
      </c>
      <c r="E40" s="11">
        <v>7</v>
      </c>
      <c r="F40" s="12">
        <f t="shared" si="5"/>
        <v>1.22987386542487</v>
      </c>
      <c r="G40" s="17">
        <f t="shared" si="4"/>
        <v>678741.5732974447</v>
      </c>
      <c r="H40" s="4"/>
      <c r="I40" s="1"/>
    </row>
    <row r="41" spans="1:9" ht="12.75">
      <c r="A41" s="7">
        <v>9</v>
      </c>
      <c r="B41" s="19">
        <v>573763.1603343028</v>
      </c>
      <c r="C41" s="25"/>
      <c r="D41" s="25">
        <f t="shared" si="3"/>
        <v>573763.1603343028</v>
      </c>
      <c r="E41" s="11">
        <v>6</v>
      </c>
      <c r="F41" s="12">
        <f t="shared" si="5"/>
        <v>1.194052296529</v>
      </c>
      <c r="G41" s="17">
        <f t="shared" si="4"/>
        <v>685103.2192609111</v>
      </c>
      <c r="H41" s="4"/>
      <c r="I41" s="1"/>
    </row>
    <row r="42" spans="1:9" ht="12.75">
      <c r="A42" s="7">
        <v>10</v>
      </c>
      <c r="B42" s="19">
        <v>596497.6817443492</v>
      </c>
      <c r="C42" s="25"/>
      <c r="D42" s="25">
        <f t="shared" si="3"/>
        <v>596497.6817443492</v>
      </c>
      <c r="E42" s="11">
        <v>5</v>
      </c>
      <c r="F42" s="12">
        <f t="shared" si="5"/>
        <v>1.1592740742999998</v>
      </c>
      <c r="G42" s="17">
        <f t="shared" si="4"/>
        <v>691504.2978262763</v>
      </c>
      <c r="H42" s="4"/>
      <c r="I42" s="1"/>
    </row>
    <row r="43" spans="1:9" ht="12.75">
      <c r="A43" s="7">
        <v>11</v>
      </c>
      <c r="B43" s="22">
        <v>620115.20777971</v>
      </c>
      <c r="C43" s="25"/>
      <c r="D43" s="25">
        <f t="shared" si="3"/>
        <v>620115.20777971</v>
      </c>
      <c r="E43" s="11">
        <v>4</v>
      </c>
      <c r="F43" s="12">
        <f t="shared" si="5"/>
        <v>1.12550881</v>
      </c>
      <c r="G43" s="17">
        <f t="shared" si="4"/>
        <v>697945.129571044</v>
      </c>
      <c r="I43" s="2"/>
    </row>
    <row r="44" spans="1:7" ht="12.75">
      <c r="A44" s="7">
        <v>12</v>
      </c>
      <c r="B44" s="22">
        <v>644649.6126156454</v>
      </c>
      <c r="C44" s="25"/>
      <c r="D44" s="25">
        <f t="shared" si="3"/>
        <v>644649.6126156454</v>
      </c>
      <c r="E44" s="11">
        <v>3</v>
      </c>
      <c r="F44" s="12">
        <f t="shared" si="5"/>
        <v>1.092727</v>
      </c>
      <c r="G44" s="17">
        <f t="shared" si="4"/>
        <v>704426.0372446564</v>
      </c>
    </row>
    <row r="45" spans="1:7" ht="12.75">
      <c r="A45" s="7">
        <v>13</v>
      </c>
      <c r="B45" s="22">
        <v>670136.0597465335</v>
      </c>
      <c r="C45" s="25"/>
      <c r="D45" s="25">
        <f t="shared" si="3"/>
        <v>670136.0597465335</v>
      </c>
      <c r="E45" s="11">
        <v>2</v>
      </c>
      <c r="F45" s="12">
        <f t="shared" si="5"/>
        <v>1.0609</v>
      </c>
      <c r="G45" s="17">
        <f t="shared" si="4"/>
        <v>710947.3457850973</v>
      </c>
    </row>
    <row r="46" spans="1:7" ht="12.75">
      <c r="A46" s="7">
        <v>14</v>
      </c>
      <c r="B46" s="22">
        <v>696611.0508112749</v>
      </c>
      <c r="C46" s="25"/>
      <c r="D46" s="25">
        <f t="shared" si="3"/>
        <v>696611.0508112749</v>
      </c>
      <c r="E46" s="11">
        <v>1</v>
      </c>
      <c r="F46" s="12">
        <f t="shared" si="5"/>
        <v>1.03</v>
      </c>
      <c r="G46" s="17">
        <f t="shared" si="4"/>
        <v>717509.3823356131</v>
      </c>
    </row>
    <row r="47" spans="1:7" ht="12.75">
      <c r="A47" s="7">
        <v>15</v>
      </c>
      <c r="B47" s="22">
        <v>8793031.820256263</v>
      </c>
      <c r="C47" s="26">
        <f>(1+C4/100)^E32*C32*(-1)</f>
        <v>7010853.37470344</v>
      </c>
      <c r="D47" s="25">
        <f t="shared" si="3"/>
        <v>15803885.194959704</v>
      </c>
      <c r="E47" s="11">
        <v>0</v>
      </c>
      <c r="F47" s="12">
        <f t="shared" si="5"/>
        <v>1</v>
      </c>
      <c r="G47" s="17">
        <f>B47*F47+C47</f>
        <v>15803885.194959704</v>
      </c>
    </row>
    <row r="48" spans="6:8" ht="12.75">
      <c r="F48" s="15"/>
      <c r="G48" s="15">
        <f>SUM(G32:G47)</f>
        <v>6556019.497259783</v>
      </c>
      <c r="H48" s="4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5"/>
  <sheetViews>
    <sheetView zoomScale="135" zoomScaleNormal="135" workbookViewId="0" topLeftCell="A13">
      <selection activeCell="A1" sqref="A1"/>
    </sheetView>
  </sheetViews>
  <sheetFormatPr defaultColWidth="11.421875" defaultRowHeight="12.75"/>
  <cols>
    <col min="1" max="1" width="6.57421875" style="0" customWidth="1"/>
    <col min="2" max="2" width="11.7109375" style="0" customWidth="1"/>
    <col min="3" max="3" width="16.8515625" style="0" bestFit="1" customWidth="1"/>
    <col min="4" max="4" width="11.00390625" style="0" customWidth="1"/>
    <col min="5" max="5" width="16.57421875" style="0" customWidth="1"/>
    <col min="6" max="6" width="17.7109375" style="0" customWidth="1"/>
    <col min="8" max="8" width="10.7109375" style="0" customWidth="1"/>
    <col min="12" max="12" width="17.57421875" style="0" bestFit="1" customWidth="1"/>
    <col min="13" max="13" width="20.28125" style="0" bestFit="1" customWidth="1"/>
  </cols>
  <sheetData>
    <row r="2" spans="1:5" ht="14.25">
      <c r="A2" s="9" t="s">
        <v>164</v>
      </c>
      <c r="E2" s="9" t="s">
        <v>165</v>
      </c>
    </row>
    <row r="3" spans="1:6" ht="12.75">
      <c r="A3" t="s">
        <v>14</v>
      </c>
      <c r="C3" s="5">
        <v>10</v>
      </c>
      <c r="D3" s="10"/>
      <c r="E3" t="s">
        <v>14</v>
      </c>
      <c r="F3" s="5">
        <v>10</v>
      </c>
    </row>
    <row r="4" spans="1:6" ht="12.75">
      <c r="A4" t="s">
        <v>15</v>
      </c>
      <c r="C4" s="5">
        <v>10</v>
      </c>
      <c r="D4" s="10"/>
      <c r="E4" t="s">
        <v>15</v>
      </c>
      <c r="F4" s="5">
        <v>10</v>
      </c>
    </row>
    <row r="7" spans="1:12" ht="12.75">
      <c r="A7" s="28" t="s">
        <v>0</v>
      </c>
      <c r="B7" s="28" t="s">
        <v>7</v>
      </c>
      <c r="C7" s="28" t="s">
        <v>20</v>
      </c>
      <c r="D7" s="28" t="s">
        <v>163</v>
      </c>
      <c r="E7" s="28" t="s">
        <v>23</v>
      </c>
      <c r="F7" s="28" t="s">
        <v>22</v>
      </c>
      <c r="G7" s="28" t="s">
        <v>24</v>
      </c>
      <c r="H7" s="28" t="s">
        <v>166</v>
      </c>
      <c r="J7" s="3"/>
      <c r="K7" s="3"/>
      <c r="L7" s="3"/>
    </row>
    <row r="8" spans="1:12" ht="12.75">
      <c r="A8" s="7">
        <v>0</v>
      </c>
      <c r="B8" s="19">
        <v>-9000000</v>
      </c>
      <c r="C8" s="7"/>
      <c r="D8" s="8">
        <f aca="true" t="shared" si="0" ref="D8:D23">B8+C8</f>
        <v>-9000000</v>
      </c>
      <c r="E8" s="11">
        <v>15</v>
      </c>
      <c r="F8" s="12">
        <f>(1+C3/100)^E8</f>
        <v>4.177248169415655</v>
      </c>
      <c r="G8" s="16">
        <f aca="true" t="shared" si="1" ref="G8:G14">B8*F8</f>
        <v>-37595233.5247409</v>
      </c>
      <c r="H8" s="14"/>
      <c r="J8" s="3"/>
      <c r="K8" s="3"/>
      <c r="L8" s="3"/>
    </row>
    <row r="9" spans="1:13" ht="12.75">
      <c r="A9" s="7">
        <v>1</v>
      </c>
      <c r="B9" s="19">
        <v>750000</v>
      </c>
      <c r="C9" s="7"/>
      <c r="D9" s="8">
        <f t="shared" si="0"/>
        <v>750000</v>
      </c>
      <c r="E9" s="11">
        <v>14</v>
      </c>
      <c r="F9" s="12">
        <f aca="true" t="shared" si="2" ref="F9:F23">(1+$C$4/100)^E9</f>
        <v>3.797498335832414</v>
      </c>
      <c r="G9" s="17">
        <f t="shared" si="1"/>
        <v>2848123.7518743104</v>
      </c>
      <c r="H9" s="13"/>
      <c r="J9" s="3"/>
      <c r="K9" s="1"/>
      <c r="L9" s="1"/>
      <c r="M9" s="5"/>
    </row>
    <row r="10" spans="1:13" ht="12.75">
      <c r="A10" s="7">
        <v>2</v>
      </c>
      <c r="B10" s="19">
        <v>750000</v>
      </c>
      <c r="C10" s="7"/>
      <c r="D10" s="8">
        <f t="shared" si="0"/>
        <v>750000</v>
      </c>
      <c r="E10" s="11">
        <v>13</v>
      </c>
      <c r="F10" s="12">
        <f t="shared" si="2"/>
        <v>3.452271214393103</v>
      </c>
      <c r="G10" s="17">
        <f t="shared" si="1"/>
        <v>2589203.410794827</v>
      </c>
      <c r="H10" s="13"/>
      <c r="J10" s="3"/>
      <c r="K10" s="1"/>
      <c r="L10" s="1"/>
      <c r="M10" s="5"/>
    </row>
    <row r="11" spans="1:13" ht="12.75">
      <c r="A11" s="7">
        <v>3</v>
      </c>
      <c r="B11" s="19">
        <v>750000</v>
      </c>
      <c r="C11" s="7"/>
      <c r="D11" s="8">
        <f t="shared" si="0"/>
        <v>750000</v>
      </c>
      <c r="E11" s="11">
        <v>12</v>
      </c>
      <c r="F11" s="12">
        <f t="shared" si="2"/>
        <v>3.1384283767210026</v>
      </c>
      <c r="G11" s="17">
        <f t="shared" si="1"/>
        <v>2353821.282540752</v>
      </c>
      <c r="H11" s="13"/>
      <c r="J11" s="3"/>
      <c r="K11" s="1"/>
      <c r="L11" s="1"/>
      <c r="M11" s="5"/>
    </row>
    <row r="12" spans="1:8" ht="12.75">
      <c r="A12" s="7">
        <v>4</v>
      </c>
      <c r="B12" s="19">
        <v>950000</v>
      </c>
      <c r="C12" s="7"/>
      <c r="D12" s="8">
        <f t="shared" si="0"/>
        <v>950000</v>
      </c>
      <c r="E12" s="11">
        <v>11</v>
      </c>
      <c r="F12" s="12">
        <f t="shared" si="2"/>
        <v>2.8531167061100025</v>
      </c>
      <c r="G12" s="17">
        <f t="shared" si="1"/>
        <v>2710460.870804502</v>
      </c>
      <c r="H12" s="13"/>
    </row>
    <row r="13" spans="1:8" ht="12.75">
      <c r="A13" s="7">
        <v>5</v>
      </c>
      <c r="B13" s="19">
        <v>950000</v>
      </c>
      <c r="C13" s="7"/>
      <c r="D13" s="8">
        <f t="shared" si="0"/>
        <v>950000</v>
      </c>
      <c r="E13" s="11">
        <v>10</v>
      </c>
      <c r="F13" s="12">
        <f t="shared" si="2"/>
        <v>2.593742460100002</v>
      </c>
      <c r="G13" s="17">
        <f t="shared" si="1"/>
        <v>2464055.3370950017</v>
      </c>
      <c r="H13" s="13"/>
    </row>
    <row r="14" spans="1:8" ht="12.75">
      <c r="A14" s="7">
        <v>6</v>
      </c>
      <c r="B14" s="19">
        <v>12950000</v>
      </c>
      <c r="C14" s="7"/>
      <c r="D14" s="8">
        <f t="shared" si="0"/>
        <v>12950000</v>
      </c>
      <c r="E14" s="11">
        <v>9</v>
      </c>
      <c r="F14" s="12">
        <f t="shared" si="2"/>
        <v>2.3579476910000015</v>
      </c>
      <c r="G14" s="17">
        <f t="shared" si="1"/>
        <v>30535422.59845002</v>
      </c>
      <c r="H14" s="13"/>
    </row>
    <row r="15" spans="1:8" ht="12.75">
      <c r="A15" s="7">
        <v>7</v>
      </c>
      <c r="B15" s="7"/>
      <c r="C15" s="7"/>
      <c r="D15" s="8">
        <f t="shared" si="0"/>
        <v>0</v>
      </c>
      <c r="E15" s="11">
        <v>8</v>
      </c>
      <c r="F15" s="12">
        <f t="shared" si="2"/>
        <v>2.143588810000001</v>
      </c>
      <c r="G15" s="7" t="s">
        <v>21</v>
      </c>
      <c r="H15" s="7"/>
    </row>
    <row r="16" spans="1:8" ht="12.75">
      <c r="A16" s="7">
        <v>8</v>
      </c>
      <c r="B16" s="7"/>
      <c r="C16" s="7"/>
      <c r="D16" s="8">
        <f t="shared" si="0"/>
        <v>0</v>
      </c>
      <c r="E16" s="11">
        <v>7</v>
      </c>
      <c r="F16" s="12">
        <f t="shared" si="2"/>
        <v>1.9487171000000012</v>
      </c>
      <c r="G16" s="7" t="s">
        <v>21</v>
      </c>
      <c r="H16" s="7"/>
    </row>
    <row r="17" spans="1:8" ht="12.75">
      <c r="A17" s="7">
        <v>9</v>
      </c>
      <c r="B17" s="7"/>
      <c r="C17" s="7"/>
      <c r="D17" s="8">
        <f t="shared" si="0"/>
        <v>0</v>
      </c>
      <c r="E17" s="11">
        <v>6</v>
      </c>
      <c r="F17" s="12">
        <f t="shared" si="2"/>
        <v>1.7715610000000008</v>
      </c>
      <c r="G17" s="7" t="s">
        <v>21</v>
      </c>
      <c r="H17" s="7"/>
    </row>
    <row r="18" spans="1:8" ht="12.75">
      <c r="A18" s="7">
        <v>10</v>
      </c>
      <c r="B18" s="7"/>
      <c r="C18" s="7"/>
      <c r="D18" s="8">
        <f t="shared" si="0"/>
        <v>0</v>
      </c>
      <c r="E18" s="11">
        <v>5</v>
      </c>
      <c r="F18" s="12">
        <f t="shared" si="2"/>
        <v>1.6105100000000006</v>
      </c>
      <c r="G18" s="7" t="s">
        <v>21</v>
      </c>
      <c r="H18" s="7"/>
    </row>
    <row r="19" spans="1:8" ht="12.75">
      <c r="A19" s="7">
        <v>11</v>
      </c>
      <c r="B19" s="7"/>
      <c r="C19" s="7"/>
      <c r="D19" s="8">
        <f t="shared" si="0"/>
        <v>0</v>
      </c>
      <c r="E19" s="11">
        <v>4</v>
      </c>
      <c r="F19" s="12">
        <f t="shared" si="2"/>
        <v>1.4641000000000004</v>
      </c>
      <c r="G19" s="7" t="s">
        <v>21</v>
      </c>
      <c r="H19" s="15"/>
    </row>
    <row r="20" spans="1:7" ht="12.75">
      <c r="A20" s="7">
        <v>12</v>
      </c>
      <c r="B20" s="7"/>
      <c r="C20" s="7"/>
      <c r="D20" s="8">
        <f t="shared" si="0"/>
        <v>0</v>
      </c>
      <c r="E20" s="11">
        <v>3</v>
      </c>
      <c r="F20" s="12">
        <f t="shared" si="2"/>
        <v>1.3310000000000004</v>
      </c>
      <c r="G20" s="7" t="s">
        <v>21</v>
      </c>
    </row>
    <row r="21" spans="1:7" ht="12.75">
      <c r="A21" s="7">
        <v>13</v>
      </c>
      <c r="B21" s="7"/>
      <c r="C21" s="7"/>
      <c r="D21" s="8">
        <f t="shared" si="0"/>
        <v>0</v>
      </c>
      <c r="E21" s="11">
        <v>2</v>
      </c>
      <c r="F21" s="12">
        <f t="shared" si="2"/>
        <v>1.2100000000000002</v>
      </c>
      <c r="G21" s="7" t="s">
        <v>21</v>
      </c>
    </row>
    <row r="22" spans="1:8" ht="12.75">
      <c r="A22" s="7">
        <v>14</v>
      </c>
      <c r="B22" s="7"/>
      <c r="C22" s="7"/>
      <c r="D22" s="8">
        <f t="shared" si="0"/>
        <v>0</v>
      </c>
      <c r="E22" s="11">
        <v>1</v>
      </c>
      <c r="F22" s="12">
        <f t="shared" si="2"/>
        <v>1.1</v>
      </c>
      <c r="G22" s="7" t="s">
        <v>21</v>
      </c>
      <c r="H22" s="3"/>
    </row>
    <row r="23" spans="1:8" ht="12.75">
      <c r="A23" s="7">
        <v>15</v>
      </c>
      <c r="B23" s="7"/>
      <c r="C23" s="7"/>
      <c r="D23" s="8">
        <f t="shared" si="0"/>
        <v>0</v>
      </c>
      <c r="E23" s="11">
        <v>0</v>
      </c>
      <c r="F23" s="12">
        <f t="shared" si="2"/>
        <v>1</v>
      </c>
      <c r="G23" s="7" t="s">
        <v>21</v>
      </c>
      <c r="H23" s="14"/>
    </row>
    <row r="24" spans="1:8" ht="12.75">
      <c r="A24" s="7"/>
      <c r="B24" s="19"/>
      <c r="C24" s="17"/>
      <c r="D24" s="17"/>
      <c r="E24" s="11"/>
      <c r="F24" s="12"/>
      <c r="G24" s="18">
        <f>SUM(G8:G14)</f>
        <v>5905853.726818524</v>
      </c>
      <c r="H24" s="44">
        <v>0.06390988829</v>
      </c>
    </row>
    <row r="25" spans="1:8" ht="12.75">
      <c r="A25" s="7"/>
      <c r="B25" s="19"/>
      <c r="C25" s="17"/>
      <c r="D25" s="17"/>
      <c r="E25" s="11"/>
      <c r="F25" s="12"/>
      <c r="G25" s="17"/>
      <c r="H25" s="14"/>
    </row>
    <row r="26" spans="1:8" ht="12.75">
      <c r="A26" s="7"/>
      <c r="B26" s="19"/>
      <c r="C26" s="17"/>
      <c r="D26" s="17"/>
      <c r="E26" s="11"/>
      <c r="F26" s="12"/>
      <c r="G26" s="17"/>
      <c r="H26" s="14"/>
    </row>
    <row r="27" spans="1:9" ht="12.75">
      <c r="A27" s="28" t="s">
        <v>0</v>
      </c>
      <c r="B27" s="28" t="s">
        <v>7</v>
      </c>
      <c r="C27" s="28" t="s">
        <v>20</v>
      </c>
      <c r="D27" s="28" t="s">
        <v>163</v>
      </c>
      <c r="E27" s="28" t="s">
        <v>23</v>
      </c>
      <c r="F27" s="28" t="s">
        <v>22</v>
      </c>
      <c r="G27" s="28" t="s">
        <v>24</v>
      </c>
      <c r="H27" s="42" t="s">
        <v>166</v>
      </c>
      <c r="I27" s="14"/>
    </row>
    <row r="28" spans="1:9" ht="12.75">
      <c r="A28" s="7">
        <v>0</v>
      </c>
      <c r="B28" s="19">
        <v>-4500000</v>
      </c>
      <c r="C28" s="25">
        <v>-4500000</v>
      </c>
      <c r="D28" s="25">
        <f aca="true" t="shared" si="3" ref="D28:D43">B28+C28</f>
        <v>-9000000</v>
      </c>
      <c r="E28" s="11">
        <v>15</v>
      </c>
      <c r="F28" s="12">
        <f>(1+F3/100)^E28</f>
        <v>4.177248169415655</v>
      </c>
      <c r="G28" s="17">
        <f>B28*F28+C28*F28</f>
        <v>-37595233.5247409</v>
      </c>
      <c r="H28" s="17"/>
      <c r="I28" s="14"/>
    </row>
    <row r="29" spans="1:9" ht="12.75">
      <c r="A29" s="7">
        <v>1</v>
      </c>
      <c r="B29" s="19">
        <v>420000</v>
      </c>
      <c r="C29" s="25"/>
      <c r="D29" s="25">
        <f t="shared" si="3"/>
        <v>420000</v>
      </c>
      <c r="E29" s="11">
        <v>14</v>
      </c>
      <c r="F29" s="12">
        <f aca="true" t="shared" si="4" ref="F29:F43">(1+$F$4/100)^E29</f>
        <v>3.797498335832414</v>
      </c>
      <c r="G29" s="17">
        <f aca="true" t="shared" si="5" ref="G29:G42">B29*F29</f>
        <v>1594949.3010496139</v>
      </c>
      <c r="H29" s="17"/>
      <c r="I29" s="14"/>
    </row>
    <row r="30" spans="1:9" ht="12.75">
      <c r="A30" s="7">
        <v>2</v>
      </c>
      <c r="B30" s="19">
        <v>436750</v>
      </c>
      <c r="C30" s="25"/>
      <c r="D30" s="25">
        <f t="shared" si="3"/>
        <v>436750</v>
      </c>
      <c r="E30" s="11">
        <v>13</v>
      </c>
      <c r="F30" s="12">
        <f t="shared" si="4"/>
        <v>3.452271214393103</v>
      </c>
      <c r="G30" s="17">
        <f t="shared" si="5"/>
        <v>1507779.4528861877</v>
      </c>
      <c r="H30" s="17"/>
      <c r="I30" s="14"/>
    </row>
    <row r="31" spans="1:9" ht="12.75">
      <c r="A31" s="7">
        <v>3</v>
      </c>
      <c r="B31" s="19">
        <v>454153.1250000001</v>
      </c>
      <c r="C31" s="25"/>
      <c r="D31" s="25">
        <f t="shared" si="3"/>
        <v>454153.1250000001</v>
      </c>
      <c r="E31" s="11">
        <v>12</v>
      </c>
      <c r="F31" s="12">
        <f t="shared" si="4"/>
        <v>3.1384283767210026</v>
      </c>
      <c r="G31" s="17">
        <f t="shared" si="5"/>
        <v>1425327.054876521</v>
      </c>
      <c r="H31" s="17"/>
      <c r="I31" s="14"/>
    </row>
    <row r="32" spans="1:9" ht="12.75">
      <c r="A32" s="7">
        <v>4</v>
      </c>
      <c r="B32" s="19">
        <v>472234.4921875001</v>
      </c>
      <c r="C32" s="25"/>
      <c r="D32" s="25">
        <f t="shared" si="3"/>
        <v>472234.4921875001</v>
      </c>
      <c r="E32" s="11">
        <v>11</v>
      </c>
      <c r="F32" s="12">
        <f t="shared" si="4"/>
        <v>2.8531167061100025</v>
      </c>
      <c r="G32" s="17">
        <f t="shared" si="5"/>
        <v>1347340.11886153</v>
      </c>
      <c r="H32" s="17"/>
      <c r="I32" s="14"/>
    </row>
    <row r="33" spans="1:9" ht="12.75">
      <c r="A33" s="7">
        <v>5</v>
      </c>
      <c r="B33" s="19">
        <v>491020.1762695314</v>
      </c>
      <c r="C33" s="25"/>
      <c r="D33" s="25">
        <f t="shared" si="3"/>
        <v>491020.1762695314</v>
      </c>
      <c r="E33" s="11">
        <v>10</v>
      </c>
      <c r="F33" s="12">
        <f t="shared" si="4"/>
        <v>2.593742460100002</v>
      </c>
      <c r="G33" s="17">
        <f t="shared" si="5"/>
        <v>1273579.879956071</v>
      </c>
      <c r="H33" s="17"/>
      <c r="I33" s="14"/>
    </row>
    <row r="34" spans="1:9" ht="12.75">
      <c r="A34" s="7">
        <v>6</v>
      </c>
      <c r="B34" s="19">
        <v>510537.24577026383</v>
      </c>
      <c r="C34" s="25"/>
      <c r="D34" s="25">
        <f t="shared" si="3"/>
        <v>510537.24577026383</v>
      </c>
      <c r="E34" s="11">
        <v>9</v>
      </c>
      <c r="F34" s="12">
        <f t="shared" si="4"/>
        <v>2.3579476910000015</v>
      </c>
      <c r="G34" s="17">
        <f t="shared" si="5"/>
        <v>1203820.1198334938</v>
      </c>
      <c r="H34" s="18"/>
      <c r="I34" s="2"/>
    </row>
    <row r="35" spans="1:9" ht="12.75">
      <c r="A35" s="7">
        <v>7</v>
      </c>
      <c r="B35" s="19">
        <v>530813.8006995394</v>
      </c>
      <c r="C35" s="25"/>
      <c r="D35" s="25">
        <f t="shared" si="3"/>
        <v>530813.8006995394</v>
      </c>
      <c r="E35" s="11">
        <v>8</v>
      </c>
      <c r="F35" s="12">
        <f t="shared" si="4"/>
        <v>2.143588810000001</v>
      </c>
      <c r="G35" s="17">
        <f t="shared" si="5"/>
        <v>1137846.5233731035</v>
      </c>
      <c r="H35" s="4"/>
      <c r="I35" s="1"/>
    </row>
    <row r="36" spans="1:9" ht="12.75">
      <c r="A36" s="7">
        <v>8</v>
      </c>
      <c r="B36" s="19">
        <v>551879.011643985</v>
      </c>
      <c r="C36" s="25"/>
      <c r="D36" s="25">
        <f t="shared" si="3"/>
        <v>551879.011643985</v>
      </c>
      <c r="E36" s="11">
        <v>7</v>
      </c>
      <c r="F36" s="12">
        <f t="shared" si="4"/>
        <v>1.9487171000000012</v>
      </c>
      <c r="G36" s="17">
        <f t="shared" si="5"/>
        <v>1075456.0671217334</v>
      </c>
      <c r="H36" s="4"/>
      <c r="I36" s="1"/>
    </row>
    <row r="37" spans="1:9" ht="12.75">
      <c r="A37" s="7">
        <v>9</v>
      </c>
      <c r="B37" s="19">
        <v>573763.1603343028</v>
      </c>
      <c r="C37" s="25"/>
      <c r="D37" s="25">
        <f t="shared" si="3"/>
        <v>573763.1603343028</v>
      </c>
      <c r="E37" s="11">
        <v>6</v>
      </c>
      <c r="F37" s="12">
        <f t="shared" si="4"/>
        <v>1.7715610000000008</v>
      </c>
      <c r="G37" s="17">
        <f t="shared" si="5"/>
        <v>1016456.4380849983</v>
      </c>
      <c r="H37" s="4"/>
      <c r="I37" s="1"/>
    </row>
    <row r="38" spans="1:9" ht="12.75">
      <c r="A38" s="7">
        <v>10</v>
      </c>
      <c r="B38" s="19">
        <v>596497.6817443492</v>
      </c>
      <c r="C38" s="25"/>
      <c r="D38" s="25">
        <f t="shared" si="3"/>
        <v>596497.6817443492</v>
      </c>
      <c r="E38" s="11">
        <v>5</v>
      </c>
      <c r="F38" s="12">
        <f t="shared" si="4"/>
        <v>1.6105100000000006</v>
      </c>
      <c r="G38" s="17">
        <f t="shared" si="5"/>
        <v>960665.4814260921</v>
      </c>
      <c r="H38" s="4"/>
      <c r="I38" s="1"/>
    </row>
    <row r="39" spans="1:9" ht="12.75">
      <c r="A39" s="7">
        <v>11</v>
      </c>
      <c r="B39" s="22">
        <v>620115.20777971</v>
      </c>
      <c r="C39" s="25"/>
      <c r="D39" s="25">
        <f t="shared" si="3"/>
        <v>620115.20777971</v>
      </c>
      <c r="E39" s="11">
        <v>4</v>
      </c>
      <c r="F39" s="12">
        <f t="shared" si="4"/>
        <v>1.4641000000000004</v>
      </c>
      <c r="G39" s="17">
        <f t="shared" si="5"/>
        <v>907910.6757102736</v>
      </c>
      <c r="I39" s="2"/>
    </row>
    <row r="40" spans="1:7" ht="12.75">
      <c r="A40" s="7">
        <v>12</v>
      </c>
      <c r="B40" s="22">
        <v>644649.6126156454</v>
      </c>
      <c r="C40" s="25"/>
      <c r="D40" s="25">
        <f t="shared" si="3"/>
        <v>644649.6126156454</v>
      </c>
      <c r="E40" s="11">
        <v>3</v>
      </c>
      <c r="F40" s="12">
        <f t="shared" si="4"/>
        <v>1.3310000000000004</v>
      </c>
      <c r="G40" s="17">
        <f t="shared" si="5"/>
        <v>858028.6343914242</v>
      </c>
    </row>
    <row r="41" spans="1:7" ht="12.75">
      <c r="A41" s="7">
        <v>13</v>
      </c>
      <c r="B41" s="22">
        <v>670136.0597465335</v>
      </c>
      <c r="C41" s="25"/>
      <c r="D41" s="25">
        <f t="shared" si="3"/>
        <v>670136.0597465335</v>
      </c>
      <c r="E41" s="11">
        <v>2</v>
      </c>
      <c r="F41" s="12">
        <f t="shared" si="4"/>
        <v>1.2100000000000002</v>
      </c>
      <c r="G41" s="17">
        <f t="shared" si="5"/>
        <v>810864.6322933057</v>
      </c>
    </row>
    <row r="42" spans="1:7" ht="12.75">
      <c r="A42" s="7">
        <v>14</v>
      </c>
      <c r="B42" s="22">
        <v>696611.0508112749</v>
      </c>
      <c r="C42" s="25"/>
      <c r="D42" s="25">
        <f t="shared" si="3"/>
        <v>696611.0508112749</v>
      </c>
      <c r="E42" s="11">
        <v>1</v>
      </c>
      <c r="F42" s="12">
        <f t="shared" si="4"/>
        <v>1.1</v>
      </c>
      <c r="G42" s="17">
        <f t="shared" si="5"/>
        <v>766272.1558924025</v>
      </c>
    </row>
    <row r="43" spans="1:7" ht="12.75">
      <c r="A43" s="7">
        <v>15</v>
      </c>
      <c r="B43" s="22">
        <v>8793031.820256263</v>
      </c>
      <c r="C43" s="26">
        <f>(1+F4/100)^E28*C28*(-1)</f>
        <v>18797616.76237045</v>
      </c>
      <c r="D43" s="25">
        <f t="shared" si="3"/>
        <v>27590648.58262671</v>
      </c>
      <c r="E43" s="11">
        <v>0</v>
      </c>
      <c r="F43" s="12">
        <f t="shared" si="4"/>
        <v>1</v>
      </c>
      <c r="G43" s="17">
        <f>B43*F43+C43</f>
        <v>27590648.58262671</v>
      </c>
    </row>
    <row r="44" spans="6:8" ht="12.75">
      <c r="F44" s="15"/>
      <c r="G44" s="15">
        <f>SUM(G28:G43)</f>
        <v>5881711.593642563</v>
      </c>
      <c r="H44" s="44">
        <v>0.07123978348</v>
      </c>
    </row>
    <row r="45" spans="7:8" ht="12.75">
      <c r="G45" s="43"/>
      <c r="H45" s="2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50"/>
  <sheetViews>
    <sheetView zoomScale="115" zoomScaleNormal="115" workbookViewId="0" topLeftCell="A13">
      <selection activeCell="C3" sqref="C3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15.421875" style="0" bestFit="1" customWidth="1"/>
    <col min="4" max="4" width="15.28125" style="0" customWidth="1"/>
    <col min="5" max="5" width="11.7109375" style="0" customWidth="1"/>
    <col min="6" max="6" width="12.7109375" style="0" customWidth="1"/>
    <col min="7" max="7" width="12.57421875" style="0" customWidth="1"/>
    <col min="8" max="8" width="9.28125" style="0" customWidth="1"/>
    <col min="9" max="9" width="12.00390625" style="0" bestFit="1" customWidth="1"/>
    <col min="10" max="10" width="14.00390625" style="0" bestFit="1" customWidth="1"/>
    <col min="12" max="12" width="17.57421875" style="0" bestFit="1" customWidth="1"/>
    <col min="13" max="13" width="20.28125" style="0" bestFit="1" customWidth="1"/>
  </cols>
  <sheetData>
    <row r="2" ht="12.75">
      <c r="A2" s="9" t="s">
        <v>13</v>
      </c>
    </row>
    <row r="3" spans="1:7" ht="12.75">
      <c r="A3" t="s">
        <v>14</v>
      </c>
      <c r="C3" s="10">
        <v>5</v>
      </c>
      <c r="D3" s="10"/>
      <c r="E3" s="10"/>
      <c r="F3" s="10"/>
      <c r="G3" s="10"/>
    </row>
    <row r="4" spans="1:7" ht="12.75">
      <c r="A4" t="s">
        <v>15</v>
      </c>
      <c r="C4" s="10">
        <v>3</v>
      </c>
      <c r="D4" s="10"/>
      <c r="E4" s="10"/>
      <c r="F4" s="10"/>
      <c r="G4" s="10"/>
    </row>
    <row r="5" spans="1:7" ht="12.75">
      <c r="A5" t="s">
        <v>16</v>
      </c>
      <c r="C5" s="10">
        <v>10</v>
      </c>
      <c r="D5" s="10"/>
      <c r="E5" s="10"/>
      <c r="F5" s="10"/>
      <c r="G5" s="10"/>
    </row>
    <row r="6" spans="1:7" ht="12.75">
      <c r="A6" t="s">
        <v>17</v>
      </c>
      <c r="C6" s="23" t="s">
        <v>35</v>
      </c>
      <c r="D6" s="1"/>
      <c r="E6" s="1"/>
      <c r="F6" s="1"/>
      <c r="G6" s="1"/>
    </row>
    <row r="7" ht="12.75">
      <c r="A7" t="s">
        <v>18</v>
      </c>
    </row>
    <row r="8" spans="1:3" ht="12.75">
      <c r="A8" t="s">
        <v>19</v>
      </c>
      <c r="C8" s="21">
        <v>15</v>
      </c>
    </row>
    <row r="11" spans="1:11" ht="12.75">
      <c r="A11" s="3" t="s">
        <v>0</v>
      </c>
      <c r="B11" s="3" t="s">
        <v>7</v>
      </c>
      <c r="C11" s="3" t="s">
        <v>25</v>
      </c>
      <c r="D11" s="3" t="s">
        <v>26</v>
      </c>
      <c r="E11" s="3" t="s">
        <v>27</v>
      </c>
      <c r="F11" s="3" t="s">
        <v>31</v>
      </c>
      <c r="G11" s="3" t="s">
        <v>28</v>
      </c>
      <c r="H11" s="3" t="s">
        <v>29</v>
      </c>
      <c r="I11" s="3" t="s">
        <v>30</v>
      </c>
      <c r="J11" t="s">
        <v>32</v>
      </c>
      <c r="K11" s="3"/>
    </row>
    <row r="12" spans="1:11" ht="12.75">
      <c r="A12" s="7">
        <v>0</v>
      </c>
      <c r="B12" s="19">
        <v>-9000000</v>
      </c>
      <c r="C12" s="20">
        <f>B12*(-1)</f>
        <v>9000000</v>
      </c>
      <c r="D12" s="20"/>
      <c r="E12" s="17"/>
      <c r="F12" s="20">
        <f>C12</f>
        <v>9000000</v>
      </c>
      <c r="G12" s="20"/>
      <c r="H12" s="20"/>
      <c r="I12" s="20"/>
      <c r="J12" s="23"/>
      <c r="K12" s="3"/>
    </row>
    <row r="13" spans="1:12" ht="12.75">
      <c r="A13" s="7">
        <v>1</v>
      </c>
      <c r="B13" s="19">
        <v>750000</v>
      </c>
      <c r="C13" s="20"/>
      <c r="D13" s="20">
        <f>B13-E13</f>
        <v>300000</v>
      </c>
      <c r="E13" s="17">
        <f aca="true" t="shared" si="0" ref="E13:E18">$C$3*F12/100</f>
        <v>450000</v>
      </c>
      <c r="F13" s="17">
        <f aca="true" t="shared" si="1" ref="F13:F18">F12-D13</f>
        <v>8700000</v>
      </c>
      <c r="G13" s="20"/>
      <c r="H13" s="20"/>
      <c r="I13" s="20"/>
      <c r="J13" s="23"/>
      <c r="K13" s="1"/>
      <c r="L13" s="5"/>
    </row>
    <row r="14" spans="1:12" ht="12.75">
      <c r="A14" s="7">
        <v>2</v>
      </c>
      <c r="B14" s="19">
        <v>750000</v>
      </c>
      <c r="C14" s="20"/>
      <c r="D14" s="20">
        <f>B14-E14</f>
        <v>315000</v>
      </c>
      <c r="E14" s="17">
        <f t="shared" si="0"/>
        <v>435000</v>
      </c>
      <c r="F14" s="17">
        <f t="shared" si="1"/>
        <v>8385000</v>
      </c>
      <c r="G14" s="20"/>
      <c r="H14" s="20"/>
      <c r="I14" s="20"/>
      <c r="J14" s="23"/>
      <c r="K14" s="1"/>
      <c r="L14" s="5"/>
    </row>
    <row r="15" spans="1:12" ht="12.75">
      <c r="A15" s="7">
        <v>3</v>
      </c>
      <c r="B15" s="19">
        <v>750000</v>
      </c>
      <c r="C15" s="20"/>
      <c r="D15" s="20">
        <f>B15-E15</f>
        <v>330750</v>
      </c>
      <c r="E15" s="17">
        <f t="shared" si="0"/>
        <v>419250</v>
      </c>
      <c r="F15" s="17">
        <f t="shared" si="1"/>
        <v>8054250</v>
      </c>
      <c r="G15" s="20"/>
      <c r="H15" s="20"/>
      <c r="I15" s="20"/>
      <c r="J15" s="23"/>
      <c r="K15" s="1"/>
      <c r="L15" s="5"/>
    </row>
    <row r="16" spans="1:10" ht="12.75">
      <c r="A16" s="7">
        <v>4</v>
      </c>
      <c r="B16" s="19">
        <v>950000</v>
      </c>
      <c r="C16" s="20"/>
      <c r="D16" s="20">
        <f>B16-E16</f>
        <v>547287.5</v>
      </c>
      <c r="E16" s="17">
        <f t="shared" si="0"/>
        <v>402712.5</v>
      </c>
      <c r="F16" s="17">
        <f t="shared" si="1"/>
        <v>7506962.5</v>
      </c>
      <c r="G16" s="20"/>
      <c r="H16" s="20"/>
      <c r="I16" s="20"/>
      <c r="J16" s="23"/>
    </row>
    <row r="17" spans="1:10" ht="12.75">
      <c r="A17" s="7">
        <v>5</v>
      </c>
      <c r="B17" s="19">
        <v>950000</v>
      </c>
      <c r="C17" s="20"/>
      <c r="D17" s="20">
        <f>B17-E17</f>
        <v>574651.875</v>
      </c>
      <c r="E17" s="17">
        <f t="shared" si="0"/>
        <v>375348.125</v>
      </c>
      <c r="F17" s="17">
        <f t="shared" si="1"/>
        <v>6932310.625</v>
      </c>
      <c r="G17" s="20"/>
      <c r="H17" s="20"/>
      <c r="I17" s="20"/>
      <c r="J17" s="23"/>
    </row>
    <row r="18" spans="1:10" ht="12.75">
      <c r="A18" s="7">
        <v>6</v>
      </c>
      <c r="B18" s="19">
        <v>12950000</v>
      </c>
      <c r="C18" s="20"/>
      <c r="D18" s="20">
        <f>F17</f>
        <v>6932310.625</v>
      </c>
      <c r="E18" s="17">
        <f t="shared" si="0"/>
        <v>346615.53125</v>
      </c>
      <c r="F18" s="17">
        <f t="shared" si="1"/>
        <v>0</v>
      </c>
      <c r="G18" s="20">
        <f>B18-D18-E18</f>
        <v>5671073.84375</v>
      </c>
      <c r="H18" s="20"/>
      <c r="I18" s="20"/>
      <c r="J18" s="23">
        <f>G18</f>
        <v>5671073.84375</v>
      </c>
    </row>
    <row r="19" spans="1:10" ht="12.75">
      <c r="A19" s="7">
        <v>7</v>
      </c>
      <c r="B19" s="8" t="s">
        <v>21</v>
      </c>
      <c r="C19" s="20"/>
      <c r="D19" s="20"/>
      <c r="E19" s="17"/>
      <c r="F19" s="17"/>
      <c r="G19" s="20"/>
      <c r="H19" s="20"/>
      <c r="I19" s="20">
        <f>$C$4*J18/100</f>
        <v>170132.2153125</v>
      </c>
      <c r="J19" s="23">
        <f>J18+I19</f>
        <v>5841206.0590625</v>
      </c>
    </row>
    <row r="20" spans="1:10" ht="12.75">
      <c r="A20" s="7">
        <v>8</v>
      </c>
      <c r="B20" s="8" t="s">
        <v>21</v>
      </c>
      <c r="C20" s="20"/>
      <c r="D20" s="20"/>
      <c r="E20" s="17"/>
      <c r="F20" s="17"/>
      <c r="G20" s="20"/>
      <c r="H20" s="20"/>
      <c r="I20" s="20">
        <f aca="true" t="shared" si="2" ref="I20:I26">$C$4*J19/100</f>
        <v>175236.18177187498</v>
      </c>
      <c r="J20" s="23">
        <f aca="true" t="shared" si="3" ref="J20:J27">J19+I20</f>
        <v>6016442.240834375</v>
      </c>
    </row>
    <row r="21" spans="1:10" ht="12.75">
      <c r="A21" s="7">
        <v>9</v>
      </c>
      <c r="B21" s="8" t="s">
        <v>21</v>
      </c>
      <c r="C21" s="20"/>
      <c r="D21" s="20"/>
      <c r="E21" s="17"/>
      <c r="F21" s="17"/>
      <c r="G21" s="20"/>
      <c r="H21" s="20"/>
      <c r="I21" s="20">
        <f t="shared" si="2"/>
        <v>180493.26722503125</v>
      </c>
      <c r="J21" s="23">
        <f t="shared" si="3"/>
        <v>6196935.508059406</v>
      </c>
    </row>
    <row r="22" spans="1:10" ht="12.75">
      <c r="A22" s="7">
        <v>10</v>
      </c>
      <c r="B22" s="8" t="s">
        <v>21</v>
      </c>
      <c r="C22" s="20"/>
      <c r="D22" s="20"/>
      <c r="E22" s="17"/>
      <c r="F22" s="17"/>
      <c r="G22" s="20"/>
      <c r="H22" s="20"/>
      <c r="I22" s="20">
        <f t="shared" si="2"/>
        <v>185908.06524178217</v>
      </c>
      <c r="J22" s="23">
        <f t="shared" si="3"/>
        <v>6382843.573301188</v>
      </c>
    </row>
    <row r="23" spans="1:10" ht="12.75">
      <c r="A23" s="7">
        <v>11</v>
      </c>
      <c r="B23" s="8" t="s">
        <v>21</v>
      </c>
      <c r="C23" s="4"/>
      <c r="D23" s="20"/>
      <c r="E23" s="17"/>
      <c r="F23" s="17"/>
      <c r="G23" s="2"/>
      <c r="H23" s="1"/>
      <c r="I23" s="20">
        <f t="shared" si="2"/>
        <v>191485.30719903563</v>
      </c>
      <c r="J23" s="23">
        <f t="shared" si="3"/>
        <v>6574328.8805002235</v>
      </c>
    </row>
    <row r="24" spans="1:10" ht="12.75">
      <c r="A24" s="7">
        <v>12</v>
      </c>
      <c r="B24" s="8" t="s">
        <v>21</v>
      </c>
      <c r="C24" s="4"/>
      <c r="D24" s="20"/>
      <c r="E24" s="17"/>
      <c r="F24" s="17"/>
      <c r="G24" s="6"/>
      <c r="H24" s="1"/>
      <c r="I24" s="20">
        <f t="shared" si="2"/>
        <v>197229.8664150067</v>
      </c>
      <c r="J24" s="23">
        <f t="shared" si="3"/>
        <v>6771558.7469152305</v>
      </c>
    </row>
    <row r="25" spans="1:10" ht="12.75">
      <c r="A25" s="7">
        <v>13</v>
      </c>
      <c r="B25" s="8" t="s">
        <v>21</v>
      </c>
      <c r="C25" s="4"/>
      <c r="D25" s="20"/>
      <c r="E25" s="17"/>
      <c r="F25" s="17"/>
      <c r="G25" s="6"/>
      <c r="H25" s="1"/>
      <c r="I25" s="20">
        <f t="shared" si="2"/>
        <v>203146.76240745693</v>
      </c>
      <c r="J25" s="23">
        <f t="shared" si="3"/>
        <v>6974705.509322687</v>
      </c>
    </row>
    <row r="26" spans="1:10" ht="12.75">
      <c r="A26" s="7">
        <v>14</v>
      </c>
      <c r="B26" s="8" t="s">
        <v>21</v>
      </c>
      <c r="C26" s="4"/>
      <c r="D26" s="20"/>
      <c r="E26" s="17"/>
      <c r="F26" s="17"/>
      <c r="G26" s="6"/>
      <c r="H26" s="1"/>
      <c r="I26" s="20">
        <f t="shared" si="2"/>
        <v>209241.1652796806</v>
      </c>
      <c r="J26" s="23">
        <f t="shared" si="3"/>
        <v>7183946.674602368</v>
      </c>
    </row>
    <row r="27" spans="1:10" ht="12.75">
      <c r="A27" s="7">
        <v>15</v>
      </c>
      <c r="B27" s="8" t="s">
        <v>21</v>
      </c>
      <c r="C27" s="4"/>
      <c r="D27" s="20"/>
      <c r="E27" s="17"/>
      <c r="F27" s="17"/>
      <c r="G27" s="6"/>
      <c r="H27" s="1"/>
      <c r="I27" s="20">
        <f>$C$4*J26/100</f>
        <v>215518.40023807104</v>
      </c>
      <c r="J27" s="27">
        <f t="shared" si="3"/>
        <v>7399465.074840439</v>
      </c>
    </row>
    <row r="28" spans="1:10" ht="12.75">
      <c r="A28" s="7"/>
      <c r="B28" s="19"/>
      <c r="C28" s="11"/>
      <c r="D28" s="12"/>
      <c r="E28" s="17"/>
      <c r="F28" s="17"/>
      <c r="G28" s="13"/>
      <c r="I28" s="20"/>
      <c r="J28" s="23"/>
    </row>
    <row r="29" spans="1:7" ht="12.75">
      <c r="A29" s="7"/>
      <c r="B29" s="19"/>
      <c r="C29" s="11"/>
      <c r="D29" s="12"/>
      <c r="E29" s="17"/>
      <c r="F29" s="17"/>
      <c r="G29" s="13"/>
    </row>
    <row r="30" spans="5:8" ht="12.75">
      <c r="E30" s="18"/>
      <c r="F30" s="18"/>
      <c r="H30" s="15"/>
    </row>
    <row r="33" spans="1:10" ht="12.75">
      <c r="A33" s="3" t="s">
        <v>0</v>
      </c>
      <c r="B33" s="3" t="s">
        <v>7</v>
      </c>
      <c r="C33" s="3" t="s">
        <v>25</v>
      </c>
      <c r="D33" s="3" t="s">
        <v>26</v>
      </c>
      <c r="E33" s="3" t="s">
        <v>27</v>
      </c>
      <c r="F33" s="3" t="s">
        <v>31</v>
      </c>
      <c r="G33" s="3" t="s">
        <v>28</v>
      </c>
      <c r="H33" s="3" t="s">
        <v>29</v>
      </c>
      <c r="I33" s="3" t="s">
        <v>30</v>
      </c>
      <c r="J33" t="s">
        <v>32</v>
      </c>
    </row>
    <row r="34" spans="1:10" ht="12.75">
      <c r="A34" s="7">
        <v>0</v>
      </c>
      <c r="B34" s="19">
        <v>-9000000</v>
      </c>
      <c r="C34" s="20">
        <f>B34*(-1)</f>
        <v>9000000</v>
      </c>
      <c r="D34" s="20"/>
      <c r="E34" s="17"/>
      <c r="F34" s="20">
        <f>C34</f>
        <v>9000000</v>
      </c>
      <c r="G34" s="20"/>
      <c r="H34" s="20"/>
      <c r="I34" s="20"/>
      <c r="J34" s="23"/>
    </row>
    <row r="35" spans="1:10" ht="12.75">
      <c r="A35" s="7">
        <v>1</v>
      </c>
      <c r="B35" s="19">
        <v>420000</v>
      </c>
      <c r="C35" s="20"/>
      <c r="D35" s="20">
        <f aca="true" t="shared" si="4" ref="D35:D48">B35-E35</f>
        <v>-30000</v>
      </c>
      <c r="E35" s="17">
        <f aca="true" t="shared" si="5" ref="E35:E49">$C$3*F34/100</f>
        <v>450000</v>
      </c>
      <c r="F35" s="17">
        <f aca="true" t="shared" si="6" ref="F35:F49">F34-D35</f>
        <v>9030000</v>
      </c>
      <c r="G35" s="20"/>
      <c r="H35" s="20"/>
      <c r="I35" s="20"/>
      <c r="J35" s="23"/>
    </row>
    <row r="36" spans="1:10" ht="12.75">
      <c r="A36" s="7">
        <v>2</v>
      </c>
      <c r="B36" s="19">
        <v>436750</v>
      </c>
      <c r="C36" s="20"/>
      <c r="D36" s="20">
        <f t="shared" si="4"/>
        <v>-14750</v>
      </c>
      <c r="E36" s="17">
        <f t="shared" si="5"/>
        <v>451500</v>
      </c>
      <c r="F36" s="17">
        <f t="shared" si="6"/>
        <v>9044750</v>
      </c>
      <c r="G36" s="20"/>
      <c r="H36" s="20"/>
      <c r="I36" s="20"/>
      <c r="J36" s="23"/>
    </row>
    <row r="37" spans="1:10" ht="12.75">
      <c r="A37" s="7">
        <v>3</v>
      </c>
      <c r="B37" s="19">
        <v>454153.1250000001</v>
      </c>
      <c r="C37" s="20"/>
      <c r="D37" s="20">
        <f t="shared" si="4"/>
        <v>1915.6250000001164</v>
      </c>
      <c r="E37" s="17">
        <f t="shared" si="5"/>
        <v>452237.5</v>
      </c>
      <c r="F37" s="17">
        <f t="shared" si="6"/>
        <v>9042834.375</v>
      </c>
      <c r="G37" s="20"/>
      <c r="H37" s="20"/>
      <c r="I37" s="20"/>
      <c r="J37" s="23"/>
    </row>
    <row r="38" spans="1:10" ht="12.75">
      <c r="A38" s="7">
        <v>4</v>
      </c>
      <c r="B38" s="19">
        <v>472234.4921875001</v>
      </c>
      <c r="C38" s="20"/>
      <c r="D38" s="20">
        <f t="shared" si="4"/>
        <v>20092.773437500116</v>
      </c>
      <c r="E38" s="17">
        <f t="shared" si="5"/>
        <v>452141.71875</v>
      </c>
      <c r="F38" s="17">
        <f t="shared" si="6"/>
        <v>9022741.6015625</v>
      </c>
      <c r="G38" s="20"/>
      <c r="H38" s="20"/>
      <c r="I38" s="20"/>
      <c r="J38" s="23"/>
    </row>
    <row r="39" spans="1:10" ht="12.75">
      <c r="A39" s="7">
        <v>5</v>
      </c>
      <c r="B39" s="19">
        <v>491020.1762695314</v>
      </c>
      <c r="C39" s="20"/>
      <c r="D39" s="20">
        <f t="shared" si="4"/>
        <v>39883.096191406425</v>
      </c>
      <c r="E39" s="17">
        <f t="shared" si="5"/>
        <v>451137.080078125</v>
      </c>
      <c r="F39" s="17">
        <f t="shared" si="6"/>
        <v>8982858.505371094</v>
      </c>
      <c r="G39" s="20"/>
      <c r="H39" s="20"/>
      <c r="I39" s="20"/>
      <c r="J39" s="23"/>
    </row>
    <row r="40" spans="1:10" ht="12.75">
      <c r="A40" s="7">
        <v>6</v>
      </c>
      <c r="B40" s="19">
        <v>510537.24577026383</v>
      </c>
      <c r="C40" s="20"/>
      <c r="D40" s="20">
        <f t="shared" si="4"/>
        <v>61394.320501709124</v>
      </c>
      <c r="E40" s="17">
        <f t="shared" si="5"/>
        <v>449142.9252685547</v>
      </c>
      <c r="F40" s="17">
        <f t="shared" si="6"/>
        <v>8921464.184869384</v>
      </c>
      <c r="G40" s="20"/>
      <c r="H40" s="20"/>
      <c r="I40" s="20"/>
      <c r="J40" s="23"/>
    </row>
    <row r="41" spans="1:10" ht="12.75">
      <c r="A41" s="7">
        <v>7</v>
      </c>
      <c r="B41" s="19">
        <v>530813.8006995394</v>
      </c>
      <c r="C41" s="20"/>
      <c r="D41" s="20">
        <f t="shared" si="4"/>
        <v>84740.59145607013</v>
      </c>
      <c r="E41" s="17">
        <f t="shared" si="5"/>
        <v>446073.20924346923</v>
      </c>
      <c r="F41" s="17">
        <f t="shared" si="6"/>
        <v>8836723.593413314</v>
      </c>
      <c r="G41" s="20"/>
      <c r="H41" s="20"/>
      <c r="I41" s="20"/>
      <c r="J41" s="23"/>
    </row>
    <row r="42" spans="1:10" ht="12.75">
      <c r="A42" s="7">
        <v>8</v>
      </c>
      <c r="B42" s="19">
        <v>551879.011643985</v>
      </c>
      <c r="C42" s="20"/>
      <c r="D42" s="20">
        <f t="shared" si="4"/>
        <v>110042.83197331935</v>
      </c>
      <c r="E42" s="17">
        <f t="shared" si="5"/>
        <v>441836.1796706657</v>
      </c>
      <c r="F42" s="17">
        <f t="shared" si="6"/>
        <v>8726680.761439994</v>
      </c>
      <c r="G42" s="20"/>
      <c r="H42" s="20"/>
      <c r="I42" s="20"/>
      <c r="J42" s="23"/>
    </row>
    <row r="43" spans="1:10" ht="12.75">
      <c r="A43" s="7">
        <v>9</v>
      </c>
      <c r="B43" s="19">
        <v>573763.1603343028</v>
      </c>
      <c r="C43" s="20"/>
      <c r="D43" s="20">
        <f t="shared" si="4"/>
        <v>137429.12226230314</v>
      </c>
      <c r="E43" s="17">
        <f t="shared" si="5"/>
        <v>436334.0380719997</v>
      </c>
      <c r="F43" s="17">
        <f t="shared" si="6"/>
        <v>8589251.639177691</v>
      </c>
      <c r="G43" s="20"/>
      <c r="H43" s="20"/>
      <c r="I43" s="20"/>
      <c r="J43" s="23"/>
    </row>
    <row r="44" spans="1:10" ht="12.75">
      <c r="A44" s="7">
        <v>10</v>
      </c>
      <c r="B44" s="19">
        <v>596497.6817443492</v>
      </c>
      <c r="C44" s="20"/>
      <c r="D44" s="20">
        <f t="shared" si="4"/>
        <v>167035.09978546458</v>
      </c>
      <c r="E44" s="17">
        <f t="shared" si="5"/>
        <v>429462.5819588846</v>
      </c>
      <c r="F44" s="17">
        <f t="shared" si="6"/>
        <v>8422216.539392227</v>
      </c>
      <c r="G44" s="20"/>
      <c r="H44" s="20"/>
      <c r="I44" s="20"/>
      <c r="J44" s="23"/>
    </row>
    <row r="45" spans="1:10" ht="12.75">
      <c r="A45" s="7">
        <v>11</v>
      </c>
      <c r="B45" s="22">
        <v>620115.20777971</v>
      </c>
      <c r="C45" s="4"/>
      <c r="D45" s="20">
        <f t="shared" si="4"/>
        <v>199004.3808100986</v>
      </c>
      <c r="E45" s="17">
        <f t="shared" si="5"/>
        <v>421110.82696961134</v>
      </c>
      <c r="F45" s="17">
        <f t="shared" si="6"/>
        <v>8223212.158582129</v>
      </c>
      <c r="G45" s="2"/>
      <c r="H45" s="1"/>
      <c r="I45" s="1"/>
      <c r="J45" s="1"/>
    </row>
    <row r="46" spans="1:10" ht="12.75">
      <c r="A46" s="7">
        <v>12</v>
      </c>
      <c r="B46" s="22">
        <v>644649.6126156454</v>
      </c>
      <c r="C46" s="4"/>
      <c r="D46" s="20">
        <f t="shared" si="4"/>
        <v>233489.00468653894</v>
      </c>
      <c r="E46" s="17">
        <f t="shared" si="5"/>
        <v>411160.60792910645</v>
      </c>
      <c r="F46" s="17">
        <f t="shared" si="6"/>
        <v>7989723.1538955895</v>
      </c>
      <c r="G46" s="23"/>
      <c r="H46" s="1"/>
      <c r="I46" s="1"/>
      <c r="J46" s="1"/>
    </row>
    <row r="47" spans="1:10" ht="12.75">
      <c r="A47" s="7">
        <v>13</v>
      </c>
      <c r="B47" s="22">
        <v>670136.0597465335</v>
      </c>
      <c r="C47" s="4"/>
      <c r="D47" s="20">
        <f t="shared" si="4"/>
        <v>270649.902051754</v>
      </c>
      <c r="E47" s="17">
        <f t="shared" si="5"/>
        <v>399486.1576947795</v>
      </c>
      <c r="F47" s="17">
        <f t="shared" si="6"/>
        <v>7719073.251843835</v>
      </c>
      <c r="G47" s="23"/>
      <c r="H47" s="1"/>
      <c r="I47" s="1"/>
      <c r="J47" s="1"/>
    </row>
    <row r="48" spans="1:10" ht="12.75">
      <c r="A48" s="7">
        <v>14</v>
      </c>
      <c r="B48" s="22">
        <v>696611.0508112749</v>
      </c>
      <c r="C48" s="4"/>
      <c r="D48" s="20">
        <f t="shared" si="4"/>
        <v>310657.38821908314</v>
      </c>
      <c r="E48" s="17">
        <f t="shared" si="5"/>
        <v>385953.6625921918</v>
      </c>
      <c r="F48" s="17">
        <f t="shared" si="6"/>
        <v>7408415.8636247525</v>
      </c>
      <c r="G48" s="23"/>
      <c r="H48" s="1"/>
      <c r="I48" s="1"/>
      <c r="J48" s="1"/>
    </row>
    <row r="49" spans="1:10" ht="12.75">
      <c r="A49" s="7">
        <v>15</v>
      </c>
      <c r="B49" s="22">
        <v>15803885.194959704</v>
      </c>
      <c r="C49" s="4"/>
      <c r="D49" s="20">
        <f>F48</f>
        <v>7408415.8636247525</v>
      </c>
      <c r="E49" s="17">
        <f t="shared" si="5"/>
        <v>370420.79318123765</v>
      </c>
      <c r="F49" s="17">
        <f t="shared" si="6"/>
        <v>0</v>
      </c>
      <c r="G49" s="23">
        <f>B49-D49-E49</f>
        <v>8025048.5381537145</v>
      </c>
      <c r="H49" s="1"/>
      <c r="I49" s="1"/>
      <c r="J49" s="2">
        <f>G49+I49+J48</f>
        <v>8025048.5381537145</v>
      </c>
    </row>
    <row r="50" spans="7:10" ht="12.75">
      <c r="G50" s="1"/>
      <c r="H50" s="2"/>
      <c r="I50" s="1"/>
      <c r="J50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Kofner</dc:creator>
  <cp:keywords/>
  <dc:description/>
  <cp:lastModifiedBy>Stefan</cp:lastModifiedBy>
  <cp:lastPrinted>2005-07-30T10:27:52Z</cp:lastPrinted>
  <dcterms:created xsi:type="dcterms:W3CDTF">2005-06-26T08:01:37Z</dcterms:created>
  <dcterms:modified xsi:type="dcterms:W3CDTF">2006-05-05T21:37:07Z</dcterms:modified>
  <cp:category/>
  <cp:version/>
  <cp:contentType/>
  <cp:contentStatus/>
</cp:coreProperties>
</file>